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redstreake/Dropbox/UAH WORK/UAH 2015/websites/AL CLIMATE REPORT 2012/blue/html/2025/May2025/"/>
    </mc:Choice>
  </mc:AlternateContent>
  <xr:revisionPtr revIDLastSave="0" documentId="13_ncr:1_{302637E1-CC56-A943-920B-A8331C7535E3}" xr6:coauthVersionLast="47" xr6:coauthVersionMax="47" xr10:uidLastSave="{00000000-0000-0000-0000-000000000000}"/>
  <bookViews>
    <workbookView xWindow="0" yWindow="500" windowWidth="40960" windowHeight="21700" activeTab="4" xr2:uid="{00000000-000D-0000-FFFF-FFFF00000000}"/>
  </bookViews>
  <sheets>
    <sheet name="CoCoRAHS January 2025" sheetId="1" r:id="rId1"/>
    <sheet name="CoCoRAHS_February 2025" sheetId="2" r:id="rId2"/>
    <sheet name="CoCoRAHS_March 2025" sheetId="3" r:id="rId3"/>
    <sheet name="CoCoRAHS_April 2025" sheetId="4" r:id="rId4"/>
    <sheet name="CoCoRAHS_May 2025" sheetId="5" r:id="rId5"/>
    <sheet name="CoCoRAHS_June 2024" sheetId="6" r:id="rId6"/>
    <sheet name="CoCoRAHS_July 2024" sheetId="7" r:id="rId7"/>
    <sheet name="CoCoRAHS_August_2024" sheetId="8" r:id="rId8"/>
    <sheet name="CoCoRAHS_September 2024" sheetId="9" r:id="rId9"/>
    <sheet name="CoCoRAHS_October_2024" sheetId="10" r:id="rId10"/>
    <sheet name="CoCoRAHS_November_2024" sheetId="11" r:id="rId11"/>
    <sheet name="CoCoRAHS_December_2024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aNqw0xKXujvYAF6vEATxg+iSlD4bFbmg/B2Oy+pOUrQ="/>
    </ext>
  </extLst>
</workbook>
</file>

<file path=xl/calcChain.xml><?xml version="1.0" encoding="utf-8"?>
<calcChain xmlns="http://schemas.openxmlformats.org/spreadsheetml/2006/main">
  <c r="F36" i="12" l="1"/>
  <c r="F35" i="12"/>
  <c r="F33" i="12"/>
  <c r="F32" i="12"/>
  <c r="B31" i="12"/>
  <c r="F30" i="12"/>
  <c r="B30" i="12"/>
  <c r="B29" i="12"/>
  <c r="F28" i="12"/>
  <c r="B28" i="12"/>
  <c r="F27" i="12"/>
  <c r="F25" i="12"/>
  <c r="B25" i="12"/>
  <c r="F21" i="12"/>
  <c r="F20" i="12"/>
  <c r="F19" i="12"/>
  <c r="F18" i="12"/>
  <c r="F17" i="12"/>
  <c r="B16" i="12"/>
  <c r="F14" i="12"/>
  <c r="F11" i="12"/>
  <c r="B11" i="12"/>
  <c r="F10" i="12"/>
  <c r="B10" i="12"/>
  <c r="F9" i="12"/>
  <c r="F8" i="12"/>
  <c r="B8" i="12"/>
  <c r="F6" i="12"/>
  <c r="B6" i="12"/>
  <c r="F5" i="12"/>
  <c r="B5" i="12"/>
  <c r="F4" i="12"/>
  <c r="F36" i="11"/>
  <c r="F35" i="11"/>
  <c r="F33" i="11"/>
  <c r="F32" i="11"/>
  <c r="B31" i="11"/>
  <c r="B30" i="11"/>
  <c r="B29" i="11"/>
  <c r="F28" i="11"/>
  <c r="B28" i="11"/>
  <c r="F27" i="11"/>
  <c r="F25" i="11"/>
  <c r="B25" i="11"/>
  <c r="F21" i="11"/>
  <c r="F20" i="11"/>
  <c r="B20" i="11"/>
  <c r="F19" i="11"/>
  <c r="F18" i="11"/>
  <c r="F17" i="11"/>
  <c r="B16" i="11"/>
  <c r="F14" i="11"/>
  <c r="F11" i="11"/>
  <c r="B11" i="11"/>
  <c r="F10" i="11"/>
  <c r="B10" i="11"/>
  <c r="F9" i="11"/>
  <c r="F8" i="11"/>
  <c r="B8" i="11"/>
  <c r="F6" i="11"/>
  <c r="F5" i="11"/>
  <c r="B5" i="11"/>
  <c r="F4" i="11"/>
  <c r="F36" i="10"/>
  <c r="F35" i="10"/>
  <c r="B31" i="10"/>
  <c r="B30" i="10"/>
  <c r="B29" i="10"/>
  <c r="F28" i="10"/>
  <c r="B28" i="10"/>
  <c r="F25" i="10"/>
  <c r="B25" i="10"/>
  <c r="F21" i="10"/>
  <c r="F20" i="10"/>
  <c r="B20" i="10"/>
  <c r="F19" i="10"/>
  <c r="F18" i="10"/>
  <c r="F17" i="10"/>
  <c r="B16" i="10"/>
  <c r="F14" i="10"/>
  <c r="F11" i="10"/>
  <c r="B11" i="10"/>
  <c r="F10" i="10"/>
  <c r="F9" i="10"/>
  <c r="F8" i="10"/>
  <c r="F6" i="10"/>
  <c r="F5" i="10"/>
  <c r="B5" i="10"/>
  <c r="F4" i="10"/>
  <c r="F36" i="9"/>
  <c r="F35" i="9"/>
  <c r="F33" i="9"/>
  <c r="F32" i="9"/>
  <c r="B31" i="9"/>
  <c r="B30" i="9"/>
  <c r="B29" i="9"/>
  <c r="F28" i="9"/>
  <c r="B28" i="9"/>
  <c r="F27" i="9"/>
  <c r="F25" i="9"/>
  <c r="B25" i="9"/>
  <c r="F21" i="9"/>
  <c r="F20" i="9"/>
  <c r="B20" i="9"/>
  <c r="F19" i="9"/>
  <c r="F18" i="9"/>
  <c r="F17" i="9"/>
  <c r="B16" i="9"/>
  <c r="F14" i="9"/>
  <c r="F11" i="9"/>
  <c r="B11" i="9"/>
  <c r="F10" i="9"/>
  <c r="B10" i="9"/>
  <c r="F9" i="9"/>
  <c r="F8" i="9"/>
  <c r="B8" i="9"/>
  <c r="F6" i="9"/>
  <c r="F5" i="9"/>
  <c r="B5" i="9"/>
  <c r="F4" i="9"/>
  <c r="F36" i="8"/>
  <c r="F35" i="8"/>
  <c r="F33" i="8"/>
  <c r="F32" i="8"/>
  <c r="B31" i="8"/>
  <c r="F30" i="8"/>
  <c r="B30" i="8"/>
  <c r="B29" i="8"/>
  <c r="F28" i="8"/>
  <c r="B28" i="8"/>
  <c r="F27" i="8"/>
  <c r="F25" i="8"/>
  <c r="B25" i="8"/>
  <c r="F21" i="8"/>
  <c r="F20" i="8"/>
  <c r="B20" i="8"/>
  <c r="F19" i="8"/>
  <c r="F18" i="8"/>
  <c r="F17" i="8"/>
  <c r="B16" i="8"/>
  <c r="F14" i="8"/>
  <c r="F11" i="8"/>
  <c r="B11" i="8"/>
  <c r="F10" i="8"/>
  <c r="B10" i="8"/>
  <c r="F9" i="8"/>
  <c r="F8" i="8"/>
  <c r="B8" i="8"/>
  <c r="F6" i="8"/>
  <c r="F5" i="8"/>
  <c r="B5" i="8"/>
  <c r="F4" i="8"/>
  <c r="B4" i="8"/>
  <c r="F36" i="7"/>
  <c r="F35" i="7"/>
  <c r="F33" i="7"/>
  <c r="F32" i="7"/>
  <c r="B31" i="7"/>
  <c r="F30" i="7"/>
  <c r="B30" i="7"/>
  <c r="B29" i="7"/>
  <c r="F28" i="7"/>
  <c r="B28" i="7"/>
  <c r="F27" i="7"/>
  <c r="F25" i="7"/>
  <c r="B25" i="7"/>
  <c r="F21" i="7"/>
  <c r="F20" i="7"/>
  <c r="B20" i="7"/>
  <c r="F19" i="7"/>
  <c r="F18" i="7"/>
  <c r="F17" i="7"/>
  <c r="B16" i="7"/>
  <c r="F14" i="7"/>
  <c r="F11" i="7"/>
  <c r="B11" i="7"/>
  <c r="F10" i="7"/>
  <c r="B10" i="7"/>
  <c r="F9" i="7"/>
  <c r="F8" i="7"/>
  <c r="B8" i="7"/>
  <c r="F6" i="7"/>
  <c r="B6" i="7"/>
  <c r="F5" i="7"/>
  <c r="B5" i="7"/>
  <c r="F4" i="7"/>
  <c r="F36" i="6"/>
  <c r="F35" i="6"/>
  <c r="F33" i="6"/>
  <c r="F32" i="6"/>
  <c r="B31" i="6"/>
  <c r="F30" i="6"/>
  <c r="B30" i="6"/>
  <c r="B29" i="6"/>
  <c r="F28" i="6"/>
  <c r="B28" i="6"/>
  <c r="F27" i="6"/>
  <c r="F25" i="6"/>
  <c r="B25" i="6"/>
  <c r="F21" i="6"/>
  <c r="F20" i="6"/>
  <c r="B20" i="6"/>
  <c r="F19" i="6"/>
  <c r="F18" i="6"/>
  <c r="F17" i="6"/>
  <c r="B16" i="6"/>
  <c r="F14" i="6"/>
  <c r="F11" i="6"/>
  <c r="B11" i="6"/>
  <c r="F10" i="6"/>
  <c r="B10" i="6"/>
  <c r="F9" i="6"/>
  <c r="F8" i="6"/>
  <c r="B8" i="6"/>
  <c r="F6" i="6"/>
  <c r="B6" i="6"/>
  <c r="F5" i="6"/>
  <c r="B5" i="6"/>
  <c r="F4" i="6"/>
  <c r="F36" i="5"/>
  <c r="F35" i="5"/>
  <c r="F33" i="5"/>
  <c r="F32" i="5"/>
  <c r="B31" i="5"/>
  <c r="F30" i="5"/>
  <c r="B29" i="5"/>
  <c r="F28" i="5"/>
  <c r="B28" i="5"/>
  <c r="F27" i="5"/>
  <c r="F25" i="5"/>
  <c r="B25" i="5"/>
  <c r="F21" i="5"/>
  <c r="F20" i="5"/>
  <c r="B20" i="5"/>
  <c r="F19" i="5"/>
  <c r="F18" i="5"/>
  <c r="F17" i="5"/>
  <c r="B16" i="5"/>
  <c r="F14" i="5"/>
  <c r="F11" i="5"/>
  <c r="B11" i="5"/>
  <c r="F10" i="5"/>
  <c r="B10" i="5"/>
  <c r="F9" i="5"/>
  <c r="F8" i="5"/>
  <c r="B8" i="5"/>
  <c r="F6" i="5"/>
  <c r="F5" i="5"/>
  <c r="B5" i="5"/>
  <c r="F4" i="5"/>
  <c r="F36" i="4"/>
  <c r="F35" i="4"/>
  <c r="F33" i="4"/>
  <c r="F32" i="4"/>
  <c r="B31" i="4"/>
  <c r="F30" i="4"/>
  <c r="B29" i="4"/>
  <c r="F28" i="4"/>
  <c r="B28" i="4"/>
  <c r="F27" i="4"/>
  <c r="F25" i="4"/>
  <c r="B25" i="4"/>
  <c r="F21" i="4"/>
  <c r="F20" i="4"/>
  <c r="B20" i="4"/>
  <c r="F19" i="4"/>
  <c r="F18" i="4"/>
  <c r="F17" i="4"/>
  <c r="B16" i="4"/>
  <c r="F14" i="4"/>
  <c r="F11" i="4"/>
  <c r="B11" i="4"/>
  <c r="F10" i="4"/>
  <c r="B10" i="4"/>
  <c r="F9" i="4"/>
  <c r="F8" i="4"/>
  <c r="B8" i="4"/>
  <c r="F6" i="4"/>
  <c r="F5" i="4"/>
  <c r="B5" i="4"/>
  <c r="F4" i="4"/>
  <c r="F36" i="3"/>
  <c r="F35" i="3"/>
  <c r="F33" i="3"/>
  <c r="F32" i="3"/>
  <c r="B31" i="3"/>
  <c r="F30" i="3"/>
  <c r="B29" i="3"/>
  <c r="F28" i="3"/>
  <c r="B28" i="3"/>
  <c r="F27" i="3"/>
  <c r="F25" i="3"/>
  <c r="B25" i="3"/>
  <c r="F21" i="3"/>
  <c r="F20" i="3"/>
  <c r="B20" i="3"/>
  <c r="F19" i="3"/>
  <c r="F18" i="3"/>
  <c r="F17" i="3"/>
  <c r="B16" i="3"/>
  <c r="F14" i="3"/>
  <c r="F11" i="3"/>
  <c r="B11" i="3"/>
  <c r="F10" i="3"/>
  <c r="B10" i="3"/>
  <c r="F9" i="3"/>
  <c r="F8" i="3"/>
  <c r="B8" i="3"/>
  <c r="F6" i="3"/>
  <c r="F5" i="3"/>
  <c r="B5" i="3"/>
  <c r="F4" i="3"/>
  <c r="F36" i="2"/>
  <c r="F35" i="2"/>
  <c r="F33" i="2"/>
  <c r="F32" i="2"/>
  <c r="B31" i="2"/>
  <c r="F30" i="2"/>
  <c r="B29" i="2"/>
  <c r="F28" i="2"/>
  <c r="B28" i="2"/>
  <c r="F27" i="2"/>
  <c r="F25" i="2"/>
  <c r="B25" i="2"/>
  <c r="F21" i="2"/>
  <c r="F20" i="2"/>
  <c r="B20" i="2"/>
  <c r="F19" i="2"/>
  <c r="F18" i="2"/>
  <c r="F17" i="2"/>
  <c r="B16" i="2"/>
  <c r="F14" i="2"/>
  <c r="F11" i="2"/>
  <c r="B11" i="2"/>
  <c r="F10" i="2"/>
  <c r="B10" i="2"/>
  <c r="F9" i="2"/>
  <c r="F8" i="2"/>
  <c r="B8" i="2"/>
  <c r="F6" i="2"/>
  <c r="F5" i="2"/>
  <c r="B5" i="2"/>
  <c r="F4" i="2"/>
  <c r="F36" i="1"/>
  <c r="F35" i="1"/>
  <c r="F33" i="1"/>
  <c r="F32" i="1"/>
  <c r="B31" i="1"/>
  <c r="F30" i="1"/>
  <c r="B30" i="1"/>
  <c r="B29" i="1"/>
  <c r="F28" i="1"/>
  <c r="B28" i="1"/>
  <c r="F27" i="1"/>
  <c r="F25" i="1"/>
  <c r="B25" i="1"/>
  <c r="F21" i="1"/>
  <c r="F20" i="1"/>
  <c r="B20" i="1"/>
  <c r="F19" i="1"/>
  <c r="F18" i="1"/>
  <c r="F17" i="1"/>
  <c r="B16" i="1"/>
  <c r="F14" i="1"/>
  <c r="F11" i="1"/>
  <c r="B11" i="1"/>
  <c r="F10" i="1"/>
  <c r="B10" i="1"/>
  <c r="F9" i="1"/>
  <c r="F8" i="1"/>
  <c r="B8" i="1"/>
  <c r="F6" i="1"/>
  <c r="B6" i="1"/>
  <c r="F5" i="1"/>
  <c r="B5" i="1"/>
  <c r="F4" i="1"/>
</calcChain>
</file>

<file path=xl/sharedStrings.xml><?xml version="1.0" encoding="utf-8"?>
<sst xmlns="http://schemas.openxmlformats.org/spreadsheetml/2006/main" count="1633" uniqueCount="134">
  <si>
    <t xml:space="preserve">            Community Collaborative Rain, Hail and Snow Network (CoCoRAHS)</t>
  </si>
  <si>
    <t>January 2025</t>
  </si>
  <si>
    <t>Ave. Total Precip.</t>
  </si>
  <si>
    <t># Stations</t>
  </si>
  <si>
    <t>Autauga</t>
  </si>
  <si>
    <t>Houston</t>
  </si>
  <si>
    <t>Normal January Precipitation*</t>
  </si>
  <si>
    <t>Baldwin</t>
  </si>
  <si>
    <t>Jackson</t>
  </si>
  <si>
    <t>Abbeville</t>
  </si>
  <si>
    <t>Barbour</t>
  </si>
  <si>
    <t>Jefferson</t>
  </si>
  <si>
    <t>Alberta</t>
  </si>
  <si>
    <t xml:space="preserve">Bibb </t>
  </si>
  <si>
    <t>n.a.</t>
  </si>
  <si>
    <t>Lamar</t>
  </si>
  <si>
    <t>Alex City</t>
  </si>
  <si>
    <t xml:space="preserve">Blount </t>
  </si>
  <si>
    <t>Lauderdale</t>
  </si>
  <si>
    <t>Aliceville</t>
  </si>
  <si>
    <t>Bullock</t>
  </si>
  <si>
    <t>Lawrence</t>
  </si>
  <si>
    <t>Andalusia</t>
  </si>
  <si>
    <t>Butler</t>
  </si>
  <si>
    <t>Lee</t>
  </si>
  <si>
    <t>Ashland</t>
  </si>
  <si>
    <t>Calhoun</t>
  </si>
  <si>
    <t>Limestone</t>
  </si>
  <si>
    <t>Athens</t>
  </si>
  <si>
    <t>Chambers</t>
  </si>
  <si>
    <t>Lowndes</t>
  </si>
  <si>
    <t>Bay Minette</t>
  </si>
  <si>
    <t>Cherokee</t>
  </si>
  <si>
    <t>Macon</t>
  </si>
  <si>
    <t>Bessemer</t>
  </si>
  <si>
    <t>Chilton</t>
  </si>
  <si>
    <t>Madison</t>
  </si>
  <si>
    <t>Billingsly</t>
  </si>
  <si>
    <t>Choctaw</t>
  </si>
  <si>
    <t>Marengo</t>
  </si>
  <si>
    <t>Centreville WSMO</t>
  </si>
  <si>
    <t>Clarke</t>
  </si>
  <si>
    <t>Marion</t>
  </si>
  <si>
    <t>Chatom</t>
  </si>
  <si>
    <t>Clay</t>
  </si>
  <si>
    <t>Marshall</t>
  </si>
  <si>
    <t>Claiborne L&amp;D</t>
  </si>
  <si>
    <t>Cleburne</t>
  </si>
  <si>
    <t>Mobile</t>
  </si>
  <si>
    <t>Clayton</t>
  </si>
  <si>
    <t>Coffee</t>
  </si>
  <si>
    <t>Monroe</t>
  </si>
  <si>
    <t>Dauphin Isl.</t>
  </si>
  <si>
    <t>Colbert</t>
  </si>
  <si>
    <t>Montgomery</t>
  </si>
  <si>
    <t>Elba</t>
  </si>
  <si>
    <t>Conecuh</t>
  </si>
  <si>
    <t>Morgan</t>
  </si>
  <si>
    <t>Eufaula WR</t>
  </si>
  <si>
    <t>Coosa</t>
  </si>
  <si>
    <t>Perry</t>
  </si>
  <si>
    <t>Evergreen</t>
  </si>
  <si>
    <t xml:space="preserve">Covington </t>
  </si>
  <si>
    <t>Pickens</t>
  </si>
  <si>
    <t>Fayette</t>
  </si>
  <si>
    <t>Crenshaw</t>
  </si>
  <si>
    <t>Pike</t>
  </si>
  <si>
    <t>Geneva 2</t>
  </si>
  <si>
    <t>Cullman</t>
  </si>
  <si>
    <t>Randolph</t>
  </si>
  <si>
    <t>Greenville</t>
  </si>
  <si>
    <t>Dale</t>
  </si>
  <si>
    <t>Russell</t>
  </si>
  <si>
    <t>Haleyville</t>
  </si>
  <si>
    <t>Dallas</t>
  </si>
  <si>
    <t>St. Clair</t>
  </si>
  <si>
    <t>Hamilton 3S</t>
  </si>
  <si>
    <t>DeKalb</t>
  </si>
  <si>
    <t>Shelby</t>
  </si>
  <si>
    <t>Heflin</t>
  </si>
  <si>
    <t>Elmore</t>
  </si>
  <si>
    <t>Sumter</t>
  </si>
  <si>
    <t>Hurtsboro</t>
  </si>
  <si>
    <t>Escambia</t>
  </si>
  <si>
    <t>Talladega</t>
  </si>
  <si>
    <t>Jasper</t>
  </si>
  <si>
    <t>Etowah</t>
  </si>
  <si>
    <t>Tallapoosa</t>
  </si>
  <si>
    <t>Lafayette</t>
  </si>
  <si>
    <t>Tuscaloosa</t>
  </si>
  <si>
    <t>Livingston</t>
  </si>
  <si>
    <t>Franklin</t>
  </si>
  <si>
    <t>Walker</t>
  </si>
  <si>
    <t>Melvin</t>
  </si>
  <si>
    <t>Geneva</t>
  </si>
  <si>
    <t>Washington</t>
  </si>
  <si>
    <t>Milstead</t>
  </si>
  <si>
    <t>Greene</t>
  </si>
  <si>
    <t>Wilcox</t>
  </si>
  <si>
    <t>Moulton</t>
  </si>
  <si>
    <t>Hale</t>
  </si>
  <si>
    <t>Winston</t>
  </si>
  <si>
    <t>Oneonta</t>
  </si>
  <si>
    <t>Henry</t>
  </si>
  <si>
    <t>Perryville</t>
  </si>
  <si>
    <t>Plantersville</t>
  </si>
  <si>
    <t>Rock Mills</t>
  </si>
  <si>
    <t>Rockford</t>
  </si>
  <si>
    <t>Sylacauga</t>
  </si>
  <si>
    <t>Union Springs</t>
  </si>
  <si>
    <t>Uniontown</t>
  </si>
  <si>
    <t>Vernon</t>
  </si>
  <si>
    <t>Warrior L&amp;D</t>
  </si>
  <si>
    <t>Wetumpka</t>
  </si>
  <si>
    <t>February 2025</t>
  </si>
  <si>
    <t>Normal February Precipitation*</t>
  </si>
  <si>
    <t>March 2025</t>
  </si>
  <si>
    <t>Normal March Precipitation*</t>
  </si>
  <si>
    <t>April 2025</t>
  </si>
  <si>
    <t>May 2025</t>
  </si>
  <si>
    <t>Normal May Precipitation*</t>
  </si>
  <si>
    <t>June 2024</t>
  </si>
  <si>
    <t>Normal June Precipitation*</t>
  </si>
  <si>
    <t>July 2024</t>
  </si>
  <si>
    <t>Normal July Precipitation*</t>
  </si>
  <si>
    <t>August 2024</t>
  </si>
  <si>
    <t>Normal August Precipitation*</t>
  </si>
  <si>
    <t>September 2024</t>
  </si>
  <si>
    <t>Normal Precipitation*</t>
  </si>
  <si>
    <t>October 2024</t>
  </si>
  <si>
    <t>November 2024</t>
  </si>
  <si>
    <t>Normal November Precipitation*</t>
  </si>
  <si>
    <t>December 2024</t>
  </si>
  <si>
    <t>Normal December Precipitation*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</si>
</sst>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sz val="11"/>
      <color rgb="FF000000"/>
      <name val="Calibri"/>
    </font>
    <font>
      <sz val="11"/>
      <color theme="1"/>
      <name val="Calibri"/>
      <scheme val="minor"/>
    </font>
    <font>
      <sz val="11"/>
      <name val="Calibri"/>
    </font>
    <font>
      <b/>
      <i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ADDB6"/>
        <bgColor rgb="FFFADDB6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horizontal="center" wrapText="1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2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2" fontId="1" fillId="4" borderId="1" xfId="0" applyNumberFormat="1" applyFont="1" applyFill="1" applyBorder="1"/>
    <xf numFmtId="0" fontId="1" fillId="3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/>
    <xf numFmtId="0" fontId="4" fillId="0" borderId="0" xfId="0" applyFont="1" applyAlignment="1">
      <alignment horizontal="center"/>
    </xf>
    <xf numFmtId="0" fontId="5" fillId="0" borderId="0" xfId="0" applyFont="1"/>
    <xf numFmtId="49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workbookViewId="0">
      <selection sqref="A1:H1"/>
    </sheetView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</v>
      </c>
      <c r="B2" s="32"/>
      <c r="C2" s="32"/>
      <c r="D2" s="32"/>
      <c r="E2" s="32"/>
      <c r="F2" s="32"/>
      <c r="G2" s="32"/>
      <c r="H2" s="32"/>
    </row>
    <row r="3" spans="1:10" ht="16" x14ac:dyDescent="0.2">
      <c r="B3" s="2" t="s">
        <v>2</v>
      </c>
      <c r="C3" s="1" t="s">
        <v>3</v>
      </c>
      <c r="F3" s="3" t="s">
        <v>2</v>
      </c>
      <c r="G3" s="1" t="s">
        <v>3</v>
      </c>
    </row>
    <row r="4" spans="1:10" ht="32" x14ac:dyDescent="0.2">
      <c r="A4" s="4" t="s">
        <v>4</v>
      </c>
      <c r="B4" s="5">
        <v>1.27</v>
      </c>
      <c r="C4" s="6">
        <v>1</v>
      </c>
      <c r="E4" s="4" t="s">
        <v>5</v>
      </c>
      <c r="F4" s="7">
        <f>(3.7+4.28+2.27)/3</f>
        <v>3.4166666666666665</v>
      </c>
      <c r="G4" s="6">
        <v>3</v>
      </c>
      <c r="I4" s="8" t="s">
        <v>6</v>
      </c>
    </row>
    <row r="5" spans="1:10" x14ac:dyDescent="0.2">
      <c r="A5" s="4" t="s">
        <v>7</v>
      </c>
      <c r="B5" s="9">
        <f>(3.59+4.25+3.87+3.7+4.26+2.45+0+3.94+3.37+3.79+2.77+3.58+3.6+4.12+3.05+3.03+4.35+2.62+3.27+2.31+3.73+2.72+3.49+3.44+2.45+3.62+4.51+4.23+3.64+3.6+3.58+4.81+2.55+3.57+3.41+3.8+3.46+2.96+3.72+0.06+3.95+3.66+4.13+3.82)/44</f>
        <v>3.382499999999999</v>
      </c>
      <c r="C5" s="10">
        <v>44</v>
      </c>
      <c r="E5" s="4" t="s">
        <v>8</v>
      </c>
      <c r="F5" s="11">
        <f>(3.09+3.23+1.21+2.68+2.46)/5</f>
        <v>2.5340000000000003</v>
      </c>
      <c r="G5" s="10">
        <v>5</v>
      </c>
      <c r="I5" s="6" t="s">
        <v>9</v>
      </c>
      <c r="J5" s="7">
        <v>5.3</v>
      </c>
    </row>
    <row r="6" spans="1:10" x14ac:dyDescent="0.2">
      <c r="A6" s="4" t="s">
        <v>10</v>
      </c>
      <c r="B6" s="9">
        <f>(0+2.23)/2</f>
        <v>1.115</v>
      </c>
      <c r="C6" s="10">
        <v>2</v>
      </c>
      <c r="E6" s="4" t="s">
        <v>11</v>
      </c>
      <c r="F6" s="11">
        <f>(2.38+2+2.62+0.76+2.47+1.8+2.14+2.76+2.96+2.82+2.8+3.24+2.53+2.84)/14</f>
        <v>2.4371428571428573</v>
      </c>
      <c r="G6" s="10">
        <v>14</v>
      </c>
      <c r="I6" s="6" t="s">
        <v>12</v>
      </c>
      <c r="J6" s="7">
        <v>4.84</v>
      </c>
    </row>
    <row r="7" spans="1:10" x14ac:dyDescent="0.2">
      <c r="A7" s="4" t="s">
        <v>13</v>
      </c>
      <c r="B7" s="5" t="s">
        <v>14</v>
      </c>
      <c r="C7" s="6">
        <v>0</v>
      </c>
      <c r="E7" s="4" t="s">
        <v>15</v>
      </c>
      <c r="F7" s="12">
        <v>3.01</v>
      </c>
      <c r="G7" s="13">
        <v>1</v>
      </c>
      <c r="I7" s="6" t="s">
        <v>16</v>
      </c>
      <c r="J7" s="7">
        <v>5.69</v>
      </c>
    </row>
    <row r="8" spans="1:10" x14ac:dyDescent="0.2">
      <c r="A8" s="4" t="s">
        <v>17</v>
      </c>
      <c r="B8" s="5">
        <f>(2.78+2.68+3.41+1.13+3.01+3.88)/6</f>
        <v>2.8149999999999999</v>
      </c>
      <c r="C8" s="6">
        <v>6</v>
      </c>
      <c r="E8" s="4" t="s">
        <v>18</v>
      </c>
      <c r="F8" s="7">
        <f>(4.01+4.46+3.21+3.99+3.02+4.34+3.72)/7</f>
        <v>3.8214285714285716</v>
      </c>
      <c r="G8" s="6">
        <v>7</v>
      </c>
      <c r="I8" s="6" t="s">
        <v>19</v>
      </c>
      <c r="J8" s="7">
        <v>5.3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11">
        <f>(3.77+3.89)/2</f>
        <v>3.83</v>
      </c>
      <c r="G9" s="10">
        <v>2</v>
      </c>
      <c r="I9" s="6" t="s">
        <v>22</v>
      </c>
      <c r="J9" s="7">
        <v>5.17</v>
      </c>
    </row>
    <row r="10" spans="1:10" x14ac:dyDescent="0.2">
      <c r="A10" s="4" t="s">
        <v>23</v>
      </c>
      <c r="B10" s="9">
        <f>(1.3+3.15+3.27+3.7+3.41)/5</f>
        <v>2.9660000000000002</v>
      </c>
      <c r="C10" s="10">
        <v>5</v>
      </c>
      <c r="E10" s="4" t="s">
        <v>24</v>
      </c>
      <c r="F10" s="11">
        <f>(3.29+3.38+2.81+3.98+0.09)/5</f>
        <v>2.71</v>
      </c>
      <c r="G10" s="10">
        <v>5</v>
      </c>
      <c r="I10" s="6" t="s">
        <v>25</v>
      </c>
      <c r="J10" s="7">
        <v>5.48</v>
      </c>
    </row>
    <row r="11" spans="1:10" x14ac:dyDescent="0.2">
      <c r="A11" s="4" t="s">
        <v>26</v>
      </c>
      <c r="B11" s="5">
        <f>(2.84+1.43+2.9+0.64)/4</f>
        <v>1.9524999999999999</v>
      </c>
      <c r="C11" s="6">
        <v>4</v>
      </c>
      <c r="E11" s="4" t="s">
        <v>27</v>
      </c>
      <c r="F11" s="7">
        <f>(4.43+4.19+4.25+4.26+4.36+3.49+1.51+2.91+1.7+1.26)/10</f>
        <v>3.2360000000000007</v>
      </c>
      <c r="G11" s="6">
        <v>10</v>
      </c>
      <c r="I11" s="6" t="s">
        <v>28</v>
      </c>
      <c r="J11" s="7">
        <v>6.06</v>
      </c>
    </row>
    <row r="12" spans="1:10" x14ac:dyDescent="0.2">
      <c r="A12" s="4" t="s">
        <v>29</v>
      </c>
      <c r="B12" s="5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31</v>
      </c>
      <c r="J12" s="7">
        <v>5.43</v>
      </c>
    </row>
    <row r="13" spans="1:10" x14ac:dyDescent="0.2">
      <c r="A13" s="4" t="s">
        <v>32</v>
      </c>
      <c r="B13" s="9">
        <v>1.63</v>
      </c>
      <c r="C13" s="10">
        <v>1</v>
      </c>
      <c r="E13" s="4" t="s">
        <v>33</v>
      </c>
      <c r="F13" s="9" t="s">
        <v>14</v>
      </c>
      <c r="G13" s="10">
        <v>0</v>
      </c>
      <c r="I13" s="6" t="s">
        <v>34</v>
      </c>
      <c r="J13" s="7">
        <v>5.34</v>
      </c>
    </row>
    <row r="14" spans="1:10" x14ac:dyDescent="0.2">
      <c r="A14" s="4" t="s">
        <v>35</v>
      </c>
      <c r="B14" s="9">
        <v>3.51</v>
      </c>
      <c r="C14" s="10">
        <v>1</v>
      </c>
      <c r="E14" s="4" t="s">
        <v>36</v>
      </c>
      <c r="F14" s="11">
        <f>(3.94+4.5+3.22+3.42+3.49+3.9+3.87+5.01+3.63+2.75+4.02+3.36+4.58+3.69+4.08+3.88+3.49+3.83+4.53+4.5+4.31+4.18+3.71+2.89+3.57+2.23+0.9+4.03+2.8+1.79)/30</f>
        <v>3.6033333333333335</v>
      </c>
      <c r="G14" s="10">
        <v>30</v>
      </c>
      <c r="I14" s="6" t="s">
        <v>37</v>
      </c>
      <c r="J14" s="7">
        <v>4.9800000000000004</v>
      </c>
    </row>
    <row r="15" spans="1:10" x14ac:dyDescent="0.2">
      <c r="A15" s="4" t="s">
        <v>38</v>
      </c>
      <c r="B15" s="5">
        <v>3.89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40</v>
      </c>
      <c r="J15" s="7">
        <v>5.63</v>
      </c>
    </row>
    <row r="16" spans="1:10" x14ac:dyDescent="0.2">
      <c r="A16" s="4" t="s">
        <v>41</v>
      </c>
      <c r="B16" s="5">
        <f>(3.17+3.49+3.45)/3</f>
        <v>3.3699999999999997</v>
      </c>
      <c r="C16" s="6">
        <v>3</v>
      </c>
      <c r="E16" s="4" t="s">
        <v>42</v>
      </c>
      <c r="F16" s="7">
        <v>4.29</v>
      </c>
      <c r="G16" s="6">
        <v>1</v>
      </c>
      <c r="I16" s="6" t="s">
        <v>43</v>
      </c>
      <c r="J16" s="7">
        <v>5.45</v>
      </c>
    </row>
    <row r="17" spans="1:10" x14ac:dyDescent="0.2">
      <c r="A17" s="4" t="s">
        <v>44</v>
      </c>
      <c r="B17" s="9">
        <v>2.72</v>
      </c>
      <c r="C17" s="10">
        <v>1</v>
      </c>
      <c r="E17" s="4" t="s">
        <v>45</v>
      </c>
      <c r="F17" s="11">
        <f>(3.27+3.08+3.04+2.85+1.59+3.24+2.56+5.1+2.79+3.31)/10</f>
        <v>3.0829999999999993</v>
      </c>
      <c r="G17" s="10">
        <v>10</v>
      </c>
      <c r="I17" s="6" t="s">
        <v>46</v>
      </c>
      <c r="J17" s="7">
        <v>5.49</v>
      </c>
    </row>
    <row r="18" spans="1:10" x14ac:dyDescent="0.2">
      <c r="A18" s="4" t="s">
        <v>47</v>
      </c>
      <c r="B18" s="9" t="s">
        <v>14</v>
      </c>
      <c r="C18" s="10">
        <v>0</v>
      </c>
      <c r="E18" s="4" t="s">
        <v>48</v>
      </c>
      <c r="F18" s="11">
        <f>(4.04+4.3+3.31+4.65+0.23+4.44+4.69+4+0+3.9+4.06+4.09+3.36+4.39+4.58+2.89+3.25+3.41+3.71+4.28+3.97+3.91+3.24+4.4+3.27+3.21)/26</f>
        <v>3.5992307692307688</v>
      </c>
      <c r="G18" s="10">
        <v>26</v>
      </c>
      <c r="I18" s="6" t="s">
        <v>49</v>
      </c>
      <c r="J18" s="7">
        <v>4.91</v>
      </c>
    </row>
    <row r="19" spans="1:10" x14ac:dyDescent="0.2">
      <c r="A19" s="4" t="s">
        <v>50</v>
      </c>
      <c r="B19" s="5" t="s">
        <v>14</v>
      </c>
      <c r="C19" s="6">
        <v>0</v>
      </c>
      <c r="E19" s="4" t="s">
        <v>51</v>
      </c>
      <c r="F19" s="7">
        <f>(3.43+3.25+3.14+3.38)/4</f>
        <v>3.3</v>
      </c>
      <c r="G19" s="6">
        <v>4</v>
      </c>
      <c r="I19" s="6" t="s">
        <v>52</v>
      </c>
      <c r="J19" s="7">
        <v>5.86</v>
      </c>
    </row>
    <row r="20" spans="1:10" x14ac:dyDescent="0.2">
      <c r="A20" s="4" t="s">
        <v>53</v>
      </c>
      <c r="B20" s="5">
        <f>(4.06+4.16+3.33+3.83)/4</f>
        <v>3.8449999999999998</v>
      </c>
      <c r="C20" s="6">
        <v>4</v>
      </c>
      <c r="E20" s="4" t="s">
        <v>54</v>
      </c>
      <c r="F20" s="7">
        <f>(3.62+2.55+3.05+3.14)/4</f>
        <v>3.09</v>
      </c>
      <c r="G20" s="6">
        <v>4</v>
      </c>
      <c r="I20" s="6" t="s">
        <v>55</v>
      </c>
      <c r="J20" s="7">
        <v>5.08</v>
      </c>
    </row>
    <row r="21" spans="1:10" ht="15.75" customHeight="1" x14ac:dyDescent="0.2">
      <c r="A21" s="4" t="s">
        <v>56</v>
      </c>
      <c r="B21" s="9" t="s">
        <v>14</v>
      </c>
      <c r="C21" s="10">
        <v>0</v>
      </c>
      <c r="E21" s="4" t="s">
        <v>57</v>
      </c>
      <c r="F21" s="11">
        <f>(2.88+3.42+3.52+3.88+2.38+3.67+2.67+2.99+3.51)/9</f>
        <v>3.2133333333333334</v>
      </c>
      <c r="G21" s="10">
        <v>9</v>
      </c>
      <c r="I21" s="6" t="s">
        <v>58</v>
      </c>
      <c r="J21" s="7">
        <v>5.2</v>
      </c>
    </row>
    <row r="22" spans="1:10" ht="15.75" customHeight="1" x14ac:dyDescent="0.2">
      <c r="A22" s="4" t="s">
        <v>59</v>
      </c>
      <c r="B22" s="9" t="s">
        <v>14</v>
      </c>
      <c r="C22" s="10">
        <v>0</v>
      </c>
      <c r="E22" s="4" t="s">
        <v>60</v>
      </c>
      <c r="F22" s="9" t="s">
        <v>14</v>
      </c>
      <c r="G22" s="10">
        <v>0</v>
      </c>
      <c r="I22" s="6" t="s">
        <v>61</v>
      </c>
      <c r="J22" s="7">
        <v>5.55</v>
      </c>
    </row>
    <row r="23" spans="1:10" ht="15.75" customHeight="1" x14ac:dyDescent="0.2">
      <c r="A23" s="4" t="s">
        <v>62</v>
      </c>
      <c r="B23" s="5">
        <v>3.04</v>
      </c>
      <c r="C23" s="6">
        <v>1</v>
      </c>
      <c r="E23" s="4" t="s">
        <v>63</v>
      </c>
      <c r="F23" s="5" t="s">
        <v>14</v>
      </c>
      <c r="G23" s="6">
        <v>0</v>
      </c>
      <c r="I23" s="6" t="s">
        <v>64</v>
      </c>
      <c r="J23" s="7">
        <v>5.75</v>
      </c>
    </row>
    <row r="24" spans="1:10" ht="15.75" customHeight="1" x14ac:dyDescent="0.2">
      <c r="A24" s="4" t="s">
        <v>65</v>
      </c>
      <c r="B24" s="5" t="s">
        <v>14</v>
      </c>
      <c r="C24" s="6">
        <v>0</v>
      </c>
      <c r="E24" s="4" t="s">
        <v>66</v>
      </c>
      <c r="F24" s="5" t="s">
        <v>14</v>
      </c>
      <c r="G24" s="6">
        <v>0</v>
      </c>
      <c r="I24" s="6" t="s">
        <v>67</v>
      </c>
      <c r="J24" s="7">
        <v>6.43</v>
      </c>
    </row>
    <row r="25" spans="1:10" ht="15.75" customHeight="1" x14ac:dyDescent="0.2">
      <c r="A25" s="4" t="s">
        <v>68</v>
      </c>
      <c r="B25" s="9">
        <f>(2.12+1.89+2.99+1.05)/4</f>
        <v>2.0125000000000002</v>
      </c>
      <c r="C25" s="10">
        <v>4</v>
      </c>
      <c r="E25" s="4" t="s">
        <v>69</v>
      </c>
      <c r="F25" s="11">
        <f>(3.24+1.6)/2</f>
        <v>2.42</v>
      </c>
      <c r="G25" s="10">
        <v>2</v>
      </c>
      <c r="I25" s="6" t="s">
        <v>70</v>
      </c>
      <c r="J25" s="7">
        <v>4.9800000000000004</v>
      </c>
    </row>
    <row r="26" spans="1:10" ht="15.75" customHeight="1" x14ac:dyDescent="0.2">
      <c r="A26" s="4" t="s">
        <v>71</v>
      </c>
      <c r="B26" s="9" t="s">
        <v>14</v>
      </c>
      <c r="C26" s="10">
        <v>0</v>
      </c>
      <c r="E26" s="4" t="s">
        <v>72</v>
      </c>
      <c r="F26" s="11">
        <v>2.52</v>
      </c>
      <c r="G26" s="10">
        <v>1</v>
      </c>
      <c r="I26" s="6" t="s">
        <v>73</v>
      </c>
      <c r="J26" s="7">
        <v>5.79</v>
      </c>
    </row>
    <row r="27" spans="1:10" ht="15.75" customHeight="1" x14ac:dyDescent="0.2">
      <c r="A27" s="4" t="s">
        <v>74</v>
      </c>
      <c r="B27" s="5">
        <v>3.34</v>
      </c>
      <c r="C27" s="6">
        <v>1</v>
      </c>
      <c r="E27" s="4" t="s">
        <v>75</v>
      </c>
      <c r="F27" s="7">
        <f>(1.73+1.97+2.64+2.56+2.77+1.76+1.83)/7</f>
        <v>2.1800000000000002</v>
      </c>
      <c r="G27" s="6">
        <v>7</v>
      </c>
      <c r="I27" s="6" t="s">
        <v>76</v>
      </c>
      <c r="J27" s="7">
        <v>5.31</v>
      </c>
    </row>
    <row r="28" spans="1:10" ht="15.75" customHeight="1" x14ac:dyDescent="0.2">
      <c r="A28" s="4" t="s">
        <v>77</v>
      </c>
      <c r="B28" s="5">
        <f>(2.56+2.64+2.36+2.04+2.83+2.57)/6</f>
        <v>2.5000000000000004</v>
      </c>
      <c r="C28" s="6">
        <v>6</v>
      </c>
      <c r="E28" s="4" t="s">
        <v>78</v>
      </c>
      <c r="F28" s="12">
        <f>(2.43+2.76+2.85+2.09+0+0.1+2.96+2.5+2.35+3.07+2.73+1.89+3.39+1.88+0.53+2.96+1.39)/17</f>
        <v>2.1105882352941179</v>
      </c>
      <c r="G28" s="6">
        <v>17</v>
      </c>
      <c r="I28" s="6" t="s">
        <v>79</v>
      </c>
      <c r="J28" s="7">
        <v>5.31</v>
      </c>
    </row>
    <row r="29" spans="1:10" ht="15.75" customHeight="1" x14ac:dyDescent="0.2">
      <c r="A29" s="4" t="s">
        <v>80</v>
      </c>
      <c r="B29" s="9">
        <f>(3.26+3.03)/2</f>
        <v>3.1449999999999996</v>
      </c>
      <c r="C29" s="10">
        <v>2</v>
      </c>
      <c r="E29" s="4" t="s">
        <v>81</v>
      </c>
      <c r="F29" s="9">
        <v>2.17</v>
      </c>
      <c r="G29" s="10">
        <v>1</v>
      </c>
      <c r="I29" s="6" t="s">
        <v>82</v>
      </c>
      <c r="J29" s="7">
        <v>4.8899999999999997</v>
      </c>
    </row>
    <row r="30" spans="1:10" ht="15.75" customHeight="1" x14ac:dyDescent="0.2">
      <c r="A30" s="4" t="s">
        <v>83</v>
      </c>
      <c r="B30" s="9">
        <f>(3.03+3.01)/2</f>
        <v>3.0199999999999996</v>
      </c>
      <c r="C30" s="10">
        <v>2</v>
      </c>
      <c r="E30" s="4" t="s">
        <v>84</v>
      </c>
      <c r="F30" s="11">
        <f>(2.26+2.89)/2</f>
        <v>2.5750000000000002</v>
      </c>
      <c r="G30" s="10">
        <v>2</v>
      </c>
      <c r="I30" s="6" t="s">
        <v>85</v>
      </c>
      <c r="J30" s="7">
        <v>5.71</v>
      </c>
    </row>
    <row r="31" spans="1:10" ht="15.75" customHeight="1" x14ac:dyDescent="0.2">
      <c r="A31" s="4" t="s">
        <v>86</v>
      </c>
      <c r="B31" s="5">
        <f>(2.42+2.47)/2</f>
        <v>2.4450000000000003</v>
      </c>
      <c r="C31" s="6">
        <v>2</v>
      </c>
      <c r="E31" s="4" t="s">
        <v>87</v>
      </c>
      <c r="F31" s="7">
        <v>2.87</v>
      </c>
      <c r="G31" s="6">
        <v>1</v>
      </c>
      <c r="I31" s="6" t="s">
        <v>88</v>
      </c>
      <c r="J31" s="7">
        <v>5.19</v>
      </c>
    </row>
    <row r="32" spans="1:10" ht="15.75" customHeight="1" x14ac:dyDescent="0.2">
      <c r="A32" s="4" t="s">
        <v>64</v>
      </c>
      <c r="B32" s="5">
        <v>4.58</v>
      </c>
      <c r="C32" s="6">
        <v>1</v>
      </c>
      <c r="E32" s="4" t="s">
        <v>89</v>
      </c>
      <c r="F32" s="7">
        <f>(3.34+2.38+3.24+3.12+3.68+0.76+2.48)/7</f>
        <v>2.7142857142857149</v>
      </c>
      <c r="G32" s="6">
        <v>7</v>
      </c>
      <c r="I32" s="6" t="s">
        <v>90</v>
      </c>
      <c r="J32" s="7">
        <v>4.7699999999999996</v>
      </c>
    </row>
    <row r="33" spans="1:10" ht="15.75" customHeight="1" x14ac:dyDescent="0.2">
      <c r="A33" s="4" t="s">
        <v>91</v>
      </c>
      <c r="B33" s="9" t="s">
        <v>14</v>
      </c>
      <c r="C33" s="10">
        <v>0</v>
      </c>
      <c r="E33" s="4" t="s">
        <v>92</v>
      </c>
      <c r="F33" s="9">
        <f>(4.68+0+3.3)/3</f>
        <v>2.6599999999999997</v>
      </c>
      <c r="G33" s="10">
        <v>3</v>
      </c>
      <c r="I33" s="6" t="s">
        <v>93</v>
      </c>
      <c r="J33" s="7">
        <v>5.25</v>
      </c>
    </row>
    <row r="34" spans="1:10" ht="15.75" customHeight="1" x14ac:dyDescent="0.2">
      <c r="A34" s="4" t="s">
        <v>94</v>
      </c>
      <c r="B34" s="9" t="s">
        <v>14</v>
      </c>
      <c r="C34" s="10">
        <v>0</v>
      </c>
      <c r="E34" s="4" t="s">
        <v>95</v>
      </c>
      <c r="F34" s="11">
        <v>3.1</v>
      </c>
      <c r="G34" s="10">
        <v>1</v>
      </c>
      <c r="I34" s="6" t="s">
        <v>96</v>
      </c>
      <c r="J34" s="7">
        <v>4.8499999999999996</v>
      </c>
    </row>
    <row r="35" spans="1:10" ht="15.75" customHeight="1" x14ac:dyDescent="0.2">
      <c r="A35" s="4" t="s">
        <v>97</v>
      </c>
      <c r="B35" s="5" t="s">
        <v>14</v>
      </c>
      <c r="C35" s="6">
        <v>0</v>
      </c>
      <c r="E35" s="4" t="s">
        <v>98</v>
      </c>
      <c r="F35" s="7">
        <f>(3.8+3.39)/2</f>
        <v>3.5949999999999998</v>
      </c>
      <c r="G35" s="6">
        <v>2</v>
      </c>
      <c r="I35" s="6" t="s">
        <v>99</v>
      </c>
      <c r="J35" s="7">
        <v>5.03</v>
      </c>
    </row>
    <row r="36" spans="1:10" ht="15.75" customHeight="1" x14ac:dyDescent="0.2">
      <c r="A36" s="4" t="s">
        <v>100</v>
      </c>
      <c r="B36" s="5" t="s">
        <v>14</v>
      </c>
      <c r="C36" s="6">
        <v>0</v>
      </c>
      <c r="E36" s="4" t="s">
        <v>101</v>
      </c>
      <c r="F36" s="7">
        <f>(4.08+3.79+3.83+4.88)/4</f>
        <v>4.1449999999999996</v>
      </c>
      <c r="G36" s="6">
        <v>4</v>
      </c>
      <c r="I36" s="6" t="s">
        <v>102</v>
      </c>
      <c r="J36" s="7">
        <v>5.39</v>
      </c>
    </row>
    <row r="37" spans="1:10" ht="15.75" customHeight="1" x14ac:dyDescent="0.2">
      <c r="A37" s="4" t="s">
        <v>103</v>
      </c>
      <c r="B37" s="9" t="s">
        <v>14</v>
      </c>
      <c r="C37" s="10">
        <v>0</v>
      </c>
      <c r="I37" s="6" t="s">
        <v>104</v>
      </c>
      <c r="J37" s="7">
        <v>5</v>
      </c>
    </row>
    <row r="38" spans="1:10" ht="15.75" customHeight="1" x14ac:dyDescent="0.2">
      <c r="B38" s="14"/>
      <c r="I38" s="6" t="s">
        <v>105</v>
      </c>
      <c r="J38" s="7">
        <v>5.26</v>
      </c>
    </row>
    <row r="39" spans="1:10" ht="15.75" customHeight="1" x14ac:dyDescent="0.2">
      <c r="B39" s="14"/>
      <c r="I39" s="6" t="s">
        <v>106</v>
      </c>
      <c r="J39" s="7">
        <v>5.39</v>
      </c>
    </row>
    <row r="40" spans="1:10" ht="15.75" customHeight="1" x14ac:dyDescent="0.2">
      <c r="B40" s="14"/>
      <c r="I40" s="6" t="s">
        <v>107</v>
      </c>
      <c r="J40" s="7">
        <v>5.54</v>
      </c>
    </row>
    <row r="41" spans="1:10" ht="15.75" customHeight="1" x14ac:dyDescent="0.2">
      <c r="B41" s="14"/>
      <c r="I41" s="6" t="s">
        <v>108</v>
      </c>
      <c r="J41" s="7">
        <v>5.14</v>
      </c>
    </row>
    <row r="42" spans="1:10" ht="15.75" customHeight="1" x14ac:dyDescent="0.2">
      <c r="B42" s="14"/>
      <c r="I42" s="6" t="s">
        <v>109</v>
      </c>
      <c r="J42" s="7">
        <v>4.7699999999999996</v>
      </c>
    </row>
    <row r="43" spans="1:10" ht="15.75" customHeight="1" x14ac:dyDescent="0.2">
      <c r="B43" s="14"/>
      <c r="I43" s="6" t="s">
        <v>110</v>
      </c>
      <c r="J43" s="7">
        <v>4.99</v>
      </c>
    </row>
    <row r="44" spans="1:10" ht="15.75" customHeight="1" x14ac:dyDescent="0.2">
      <c r="B44" s="14"/>
      <c r="I44" s="6" t="s">
        <v>111</v>
      </c>
      <c r="J44" s="7">
        <v>5.95</v>
      </c>
    </row>
    <row r="45" spans="1:10" ht="15.75" customHeight="1" x14ac:dyDescent="0.2">
      <c r="B45" s="14"/>
      <c r="I45" s="6" t="s">
        <v>112</v>
      </c>
      <c r="J45" s="7">
        <v>5.34</v>
      </c>
    </row>
    <row r="46" spans="1:10" ht="15.75" customHeight="1" x14ac:dyDescent="0.2">
      <c r="B46" s="14"/>
      <c r="I46" s="6" t="s">
        <v>113</v>
      </c>
      <c r="J46" s="7">
        <v>4.87</v>
      </c>
    </row>
    <row r="47" spans="1:10" ht="15.75" customHeight="1" x14ac:dyDescent="0.2">
      <c r="B47" s="14"/>
    </row>
    <row r="48" spans="1:10" ht="15.75" customHeight="1" x14ac:dyDescent="0.2">
      <c r="B48" s="14"/>
    </row>
    <row r="49" spans="2:2" ht="15.75" customHeight="1" x14ac:dyDescent="0.2">
      <c r="B49" s="14"/>
    </row>
    <row r="50" spans="2:2" ht="15.75" customHeight="1" x14ac:dyDescent="0.2">
      <c r="B50" s="14"/>
    </row>
    <row r="51" spans="2:2" ht="15.75" customHeight="1" x14ac:dyDescent="0.2">
      <c r="B51" s="14"/>
    </row>
    <row r="52" spans="2:2" ht="15.75" customHeight="1" x14ac:dyDescent="0.2">
      <c r="B52" s="14"/>
    </row>
    <row r="53" spans="2:2" ht="15.75" customHeight="1" x14ac:dyDescent="0.2">
      <c r="B53" s="14"/>
    </row>
    <row r="54" spans="2:2" ht="15.75" customHeight="1" x14ac:dyDescent="0.2">
      <c r="B54" s="14"/>
    </row>
    <row r="55" spans="2:2" ht="15.75" customHeight="1" x14ac:dyDescent="0.2">
      <c r="B55" s="14"/>
    </row>
    <row r="56" spans="2:2" ht="15.75" customHeight="1" x14ac:dyDescent="0.2">
      <c r="B56" s="14"/>
    </row>
    <row r="57" spans="2:2" ht="15.75" customHeight="1" x14ac:dyDescent="0.2">
      <c r="B57" s="14"/>
    </row>
    <row r="58" spans="2:2" ht="15.75" customHeight="1" x14ac:dyDescent="0.2">
      <c r="B58" s="14"/>
    </row>
    <row r="59" spans="2:2" ht="15.75" customHeight="1" x14ac:dyDescent="0.2">
      <c r="B59" s="14"/>
    </row>
    <row r="60" spans="2:2" ht="15.75" customHeight="1" x14ac:dyDescent="0.2">
      <c r="B60" s="14"/>
    </row>
    <row r="61" spans="2:2" ht="15.75" customHeight="1" x14ac:dyDescent="0.2">
      <c r="B61" s="14"/>
    </row>
    <row r="62" spans="2:2" ht="15.75" customHeight="1" x14ac:dyDescent="0.2">
      <c r="B62" s="14"/>
    </row>
    <row r="63" spans="2:2" ht="15.75" customHeight="1" x14ac:dyDescent="0.2">
      <c r="B63" s="14"/>
    </row>
    <row r="64" spans="2:2" ht="15.75" customHeight="1" x14ac:dyDescent="0.2">
      <c r="B64" s="14"/>
    </row>
    <row r="65" spans="2:2" ht="15.75" customHeight="1" x14ac:dyDescent="0.2">
      <c r="B65" s="14"/>
    </row>
    <row r="66" spans="2:2" ht="15.75" customHeight="1" x14ac:dyDescent="0.2">
      <c r="B66" s="14"/>
    </row>
    <row r="67" spans="2:2" ht="15.75" customHeight="1" x14ac:dyDescent="0.2">
      <c r="B67" s="14"/>
    </row>
    <row r="68" spans="2:2" ht="15.75" customHeight="1" x14ac:dyDescent="0.2">
      <c r="B68" s="14"/>
    </row>
    <row r="69" spans="2:2" ht="15.75" customHeight="1" x14ac:dyDescent="0.2">
      <c r="B69" s="14"/>
    </row>
    <row r="70" spans="2:2" ht="15.75" customHeight="1" x14ac:dyDescent="0.2">
      <c r="B70" s="14"/>
    </row>
    <row r="71" spans="2:2" ht="15.75" customHeight="1" x14ac:dyDescent="0.2">
      <c r="B71" s="14"/>
    </row>
    <row r="72" spans="2:2" ht="15.75" customHeight="1" x14ac:dyDescent="0.2">
      <c r="B72" s="14"/>
    </row>
    <row r="73" spans="2:2" ht="15.75" customHeight="1" x14ac:dyDescent="0.2">
      <c r="B73" s="14"/>
    </row>
    <row r="74" spans="2:2" ht="15.75" customHeight="1" x14ac:dyDescent="0.2">
      <c r="B74" s="14"/>
    </row>
    <row r="75" spans="2:2" ht="15.75" customHeight="1" x14ac:dyDescent="0.2">
      <c r="B75" s="14"/>
    </row>
    <row r="76" spans="2:2" ht="15.75" customHeight="1" x14ac:dyDescent="0.2">
      <c r="B76" s="14"/>
    </row>
    <row r="77" spans="2:2" ht="15.75" customHeight="1" x14ac:dyDescent="0.2">
      <c r="B77" s="14"/>
    </row>
    <row r="78" spans="2:2" ht="15.75" customHeight="1" x14ac:dyDescent="0.2">
      <c r="B78" s="14"/>
    </row>
    <row r="79" spans="2:2" ht="15.75" customHeight="1" x14ac:dyDescent="0.2">
      <c r="B79" s="14"/>
    </row>
    <row r="80" spans="2:2" ht="15.75" customHeight="1" x14ac:dyDescent="0.2">
      <c r="B80" s="14"/>
    </row>
    <row r="81" spans="2:2" ht="15.75" customHeight="1" x14ac:dyDescent="0.2">
      <c r="B81" s="14"/>
    </row>
    <row r="82" spans="2:2" ht="15.75" customHeight="1" x14ac:dyDescent="0.2">
      <c r="B82" s="14"/>
    </row>
    <row r="83" spans="2:2" ht="15.75" customHeight="1" x14ac:dyDescent="0.2">
      <c r="B83" s="14"/>
    </row>
    <row r="84" spans="2:2" ht="15.75" customHeight="1" x14ac:dyDescent="0.2">
      <c r="B84" s="14"/>
    </row>
    <row r="85" spans="2:2" ht="15.75" customHeight="1" x14ac:dyDescent="0.2">
      <c r="B85" s="14"/>
    </row>
    <row r="86" spans="2:2" ht="15.75" customHeight="1" x14ac:dyDescent="0.2">
      <c r="B86" s="14"/>
    </row>
    <row r="87" spans="2:2" ht="15.75" customHeight="1" x14ac:dyDescent="0.2">
      <c r="B87" s="14"/>
    </row>
    <row r="88" spans="2:2" ht="15.75" customHeight="1" x14ac:dyDescent="0.2">
      <c r="B88" s="14"/>
    </row>
    <row r="89" spans="2:2" ht="15.75" customHeight="1" x14ac:dyDescent="0.2">
      <c r="B89" s="14"/>
    </row>
    <row r="90" spans="2:2" ht="15.75" customHeight="1" x14ac:dyDescent="0.2">
      <c r="B90" s="14"/>
    </row>
    <row r="91" spans="2:2" ht="15.75" customHeight="1" x14ac:dyDescent="0.2">
      <c r="B91" s="14"/>
    </row>
    <row r="92" spans="2:2" ht="15.75" customHeight="1" x14ac:dyDescent="0.2">
      <c r="B92" s="14"/>
    </row>
    <row r="93" spans="2:2" ht="15.75" customHeight="1" x14ac:dyDescent="0.2">
      <c r="B93" s="14"/>
    </row>
    <row r="94" spans="2:2" ht="15.75" customHeight="1" x14ac:dyDescent="0.2">
      <c r="B94" s="14"/>
    </row>
    <row r="95" spans="2:2" ht="15.75" customHeight="1" x14ac:dyDescent="0.2">
      <c r="B95" s="14"/>
    </row>
    <row r="96" spans="2:2" ht="15.75" customHeight="1" x14ac:dyDescent="0.2">
      <c r="B96" s="14"/>
    </row>
    <row r="97" spans="2:2" ht="15.75" customHeight="1" x14ac:dyDescent="0.2">
      <c r="B97" s="14"/>
    </row>
    <row r="98" spans="2:2" ht="15.75" customHeight="1" x14ac:dyDescent="0.2">
      <c r="B98" s="14"/>
    </row>
    <row r="99" spans="2:2" ht="15.75" customHeight="1" x14ac:dyDescent="0.2">
      <c r="B99" s="14"/>
    </row>
    <row r="100" spans="2:2" ht="15.75" customHeight="1" x14ac:dyDescent="0.2">
      <c r="B100" s="14"/>
    </row>
    <row r="101" spans="2:2" ht="15.75" customHeight="1" x14ac:dyDescent="0.2">
      <c r="B101" s="14"/>
    </row>
    <row r="102" spans="2:2" ht="15.75" customHeight="1" x14ac:dyDescent="0.2">
      <c r="B102" s="14"/>
    </row>
    <row r="103" spans="2:2" ht="15.75" customHeight="1" x14ac:dyDescent="0.2">
      <c r="B103" s="14"/>
    </row>
    <row r="104" spans="2:2" ht="15.75" customHeight="1" x14ac:dyDescent="0.2">
      <c r="B104" s="14"/>
    </row>
    <row r="105" spans="2:2" ht="15.75" customHeight="1" x14ac:dyDescent="0.2">
      <c r="B105" s="14"/>
    </row>
    <row r="106" spans="2:2" ht="15.75" customHeight="1" x14ac:dyDescent="0.2">
      <c r="B106" s="14"/>
    </row>
    <row r="107" spans="2:2" ht="15.75" customHeight="1" x14ac:dyDescent="0.2">
      <c r="B107" s="14"/>
    </row>
    <row r="108" spans="2:2" ht="15.75" customHeight="1" x14ac:dyDescent="0.2">
      <c r="B108" s="14"/>
    </row>
    <row r="109" spans="2:2" ht="15.75" customHeight="1" x14ac:dyDescent="0.2">
      <c r="B109" s="14"/>
    </row>
    <row r="110" spans="2:2" ht="15.75" customHeight="1" x14ac:dyDescent="0.2">
      <c r="B110" s="14"/>
    </row>
    <row r="111" spans="2:2" ht="15.75" customHeight="1" x14ac:dyDescent="0.2">
      <c r="B111" s="14"/>
    </row>
    <row r="112" spans="2:2" ht="15.75" customHeight="1" x14ac:dyDescent="0.2">
      <c r="B112" s="14"/>
    </row>
    <row r="113" spans="2:2" ht="15.75" customHeight="1" x14ac:dyDescent="0.2">
      <c r="B113" s="14"/>
    </row>
    <row r="114" spans="2:2" ht="15.75" customHeight="1" x14ac:dyDescent="0.2">
      <c r="B114" s="14"/>
    </row>
    <row r="115" spans="2:2" ht="15.75" customHeight="1" x14ac:dyDescent="0.2">
      <c r="B115" s="14"/>
    </row>
    <row r="116" spans="2:2" ht="15.75" customHeight="1" x14ac:dyDescent="0.2">
      <c r="B116" s="14"/>
    </row>
    <row r="117" spans="2:2" ht="15.75" customHeight="1" x14ac:dyDescent="0.2">
      <c r="B117" s="14"/>
    </row>
    <row r="118" spans="2:2" ht="15.75" customHeight="1" x14ac:dyDescent="0.2">
      <c r="B118" s="14"/>
    </row>
    <row r="119" spans="2:2" ht="15.75" customHeight="1" x14ac:dyDescent="0.2">
      <c r="B119" s="14"/>
    </row>
    <row r="120" spans="2:2" ht="15.75" customHeight="1" x14ac:dyDescent="0.2">
      <c r="B120" s="14"/>
    </row>
    <row r="121" spans="2:2" ht="15.75" customHeight="1" x14ac:dyDescent="0.2">
      <c r="B121" s="14"/>
    </row>
    <row r="122" spans="2:2" ht="15.75" customHeight="1" x14ac:dyDescent="0.2">
      <c r="B122" s="14"/>
    </row>
    <row r="123" spans="2:2" ht="15.75" customHeight="1" x14ac:dyDescent="0.2">
      <c r="B123" s="14"/>
    </row>
    <row r="124" spans="2:2" ht="15.75" customHeight="1" x14ac:dyDescent="0.2">
      <c r="B124" s="14"/>
    </row>
    <row r="125" spans="2:2" ht="15.75" customHeight="1" x14ac:dyDescent="0.2">
      <c r="B125" s="14"/>
    </row>
    <row r="126" spans="2:2" ht="15.75" customHeight="1" x14ac:dyDescent="0.2">
      <c r="B126" s="14"/>
    </row>
    <row r="127" spans="2:2" ht="15.75" customHeight="1" x14ac:dyDescent="0.2">
      <c r="B127" s="14"/>
    </row>
    <row r="128" spans="2:2" ht="15.75" customHeight="1" x14ac:dyDescent="0.2">
      <c r="B128" s="14"/>
    </row>
    <row r="129" spans="2:2" ht="15.75" customHeight="1" x14ac:dyDescent="0.2">
      <c r="B129" s="14"/>
    </row>
    <row r="130" spans="2:2" ht="15.75" customHeight="1" x14ac:dyDescent="0.2">
      <c r="B130" s="14"/>
    </row>
    <row r="131" spans="2:2" ht="15.75" customHeight="1" x14ac:dyDescent="0.2">
      <c r="B131" s="14"/>
    </row>
    <row r="132" spans="2:2" ht="15.75" customHeight="1" x14ac:dyDescent="0.2">
      <c r="B132" s="14"/>
    </row>
    <row r="133" spans="2:2" ht="15.75" customHeight="1" x14ac:dyDescent="0.2">
      <c r="B133" s="14"/>
    </row>
    <row r="134" spans="2:2" ht="15.75" customHeight="1" x14ac:dyDescent="0.2">
      <c r="B134" s="14"/>
    </row>
    <row r="135" spans="2:2" ht="15.75" customHeight="1" x14ac:dyDescent="0.2">
      <c r="B135" s="14"/>
    </row>
    <row r="136" spans="2:2" ht="15.75" customHeight="1" x14ac:dyDescent="0.2">
      <c r="B136" s="14"/>
    </row>
    <row r="137" spans="2:2" ht="15.75" customHeight="1" x14ac:dyDescent="0.2">
      <c r="B137" s="14"/>
    </row>
    <row r="138" spans="2:2" ht="15.75" customHeight="1" x14ac:dyDescent="0.2">
      <c r="B138" s="14"/>
    </row>
    <row r="139" spans="2:2" ht="15.75" customHeight="1" x14ac:dyDescent="0.2">
      <c r="B139" s="14"/>
    </row>
    <row r="140" spans="2:2" ht="15.75" customHeight="1" x14ac:dyDescent="0.2">
      <c r="B140" s="14"/>
    </row>
    <row r="141" spans="2:2" ht="15.75" customHeight="1" x14ac:dyDescent="0.2">
      <c r="B141" s="14"/>
    </row>
    <row r="142" spans="2:2" ht="15.75" customHeight="1" x14ac:dyDescent="0.2">
      <c r="B142" s="14"/>
    </row>
    <row r="143" spans="2:2" ht="15.75" customHeight="1" x14ac:dyDescent="0.2">
      <c r="B143" s="14"/>
    </row>
    <row r="144" spans="2:2" ht="15.75" customHeight="1" x14ac:dyDescent="0.2">
      <c r="B144" s="14"/>
    </row>
    <row r="145" spans="2:2" ht="15.75" customHeight="1" x14ac:dyDescent="0.2">
      <c r="B145" s="14"/>
    </row>
    <row r="146" spans="2:2" ht="15.75" customHeight="1" x14ac:dyDescent="0.2">
      <c r="B146" s="14"/>
    </row>
    <row r="147" spans="2:2" ht="15.75" customHeight="1" x14ac:dyDescent="0.2">
      <c r="B147" s="14"/>
    </row>
    <row r="148" spans="2:2" ht="15.75" customHeight="1" x14ac:dyDescent="0.2">
      <c r="B148" s="14"/>
    </row>
    <row r="149" spans="2:2" ht="15.75" customHeight="1" x14ac:dyDescent="0.2">
      <c r="B149" s="14"/>
    </row>
    <row r="150" spans="2:2" ht="15.75" customHeight="1" x14ac:dyDescent="0.2">
      <c r="B150" s="14"/>
    </row>
    <row r="151" spans="2:2" ht="15.75" customHeight="1" x14ac:dyDescent="0.2">
      <c r="B151" s="14"/>
    </row>
    <row r="152" spans="2:2" ht="15.75" customHeight="1" x14ac:dyDescent="0.2">
      <c r="B152" s="14"/>
    </row>
    <row r="153" spans="2:2" ht="15.75" customHeight="1" x14ac:dyDescent="0.2">
      <c r="B153" s="14"/>
    </row>
    <row r="154" spans="2:2" ht="15.75" customHeight="1" x14ac:dyDescent="0.2">
      <c r="B154" s="14"/>
    </row>
    <row r="155" spans="2:2" ht="15.75" customHeight="1" x14ac:dyDescent="0.2">
      <c r="B155" s="14"/>
    </row>
    <row r="156" spans="2:2" ht="15.75" customHeight="1" x14ac:dyDescent="0.2">
      <c r="B156" s="14"/>
    </row>
    <row r="157" spans="2:2" ht="15.75" customHeight="1" x14ac:dyDescent="0.2">
      <c r="B157" s="14"/>
    </row>
    <row r="158" spans="2:2" ht="15.75" customHeight="1" x14ac:dyDescent="0.2">
      <c r="B158" s="14"/>
    </row>
    <row r="159" spans="2:2" ht="15.75" customHeight="1" x14ac:dyDescent="0.2">
      <c r="B159" s="14"/>
    </row>
    <row r="160" spans="2:2" ht="15.75" customHeight="1" x14ac:dyDescent="0.2">
      <c r="B160" s="14"/>
    </row>
    <row r="161" spans="2:2" ht="15.75" customHeight="1" x14ac:dyDescent="0.2">
      <c r="B161" s="14"/>
    </row>
    <row r="162" spans="2:2" ht="15.75" customHeight="1" x14ac:dyDescent="0.2">
      <c r="B162" s="14"/>
    </row>
    <row r="163" spans="2:2" ht="15.75" customHeight="1" x14ac:dyDescent="0.2">
      <c r="B163" s="14"/>
    </row>
    <row r="164" spans="2:2" ht="15.75" customHeight="1" x14ac:dyDescent="0.2">
      <c r="B164" s="14"/>
    </row>
    <row r="165" spans="2:2" ht="15.75" customHeight="1" x14ac:dyDescent="0.2">
      <c r="B165" s="14"/>
    </row>
    <row r="166" spans="2:2" ht="15.75" customHeight="1" x14ac:dyDescent="0.2">
      <c r="B166" s="14"/>
    </row>
    <row r="167" spans="2:2" ht="15.75" customHeight="1" x14ac:dyDescent="0.2">
      <c r="B167" s="14"/>
    </row>
    <row r="168" spans="2:2" ht="15.75" customHeight="1" x14ac:dyDescent="0.2">
      <c r="B168" s="14"/>
    </row>
    <row r="169" spans="2:2" ht="15.75" customHeight="1" x14ac:dyDescent="0.2">
      <c r="B169" s="14"/>
    </row>
    <row r="170" spans="2:2" ht="15.75" customHeight="1" x14ac:dyDescent="0.2">
      <c r="B170" s="14"/>
    </row>
    <row r="171" spans="2:2" ht="15.75" customHeight="1" x14ac:dyDescent="0.2">
      <c r="B171" s="14"/>
    </row>
    <row r="172" spans="2:2" ht="15.75" customHeight="1" x14ac:dyDescent="0.2">
      <c r="B172" s="14"/>
    </row>
    <row r="173" spans="2:2" ht="15.75" customHeight="1" x14ac:dyDescent="0.2">
      <c r="B173" s="14"/>
    </row>
    <row r="174" spans="2:2" ht="15.75" customHeight="1" x14ac:dyDescent="0.2">
      <c r="B174" s="14"/>
    </row>
    <row r="175" spans="2:2" ht="15.75" customHeight="1" x14ac:dyDescent="0.2">
      <c r="B175" s="14"/>
    </row>
    <row r="176" spans="2:2" ht="15.75" customHeight="1" x14ac:dyDescent="0.2">
      <c r="B176" s="14"/>
    </row>
    <row r="177" spans="2:2" ht="15.75" customHeight="1" x14ac:dyDescent="0.2">
      <c r="B177" s="14"/>
    </row>
    <row r="178" spans="2:2" ht="15.75" customHeight="1" x14ac:dyDescent="0.2">
      <c r="B178" s="14"/>
    </row>
    <row r="179" spans="2:2" ht="15.75" customHeight="1" x14ac:dyDescent="0.2">
      <c r="B179" s="14"/>
    </row>
    <row r="180" spans="2:2" ht="15.75" customHeight="1" x14ac:dyDescent="0.2">
      <c r="B180" s="14"/>
    </row>
    <row r="181" spans="2:2" ht="15.75" customHeight="1" x14ac:dyDescent="0.2">
      <c r="B181" s="14"/>
    </row>
    <row r="182" spans="2:2" ht="15.75" customHeight="1" x14ac:dyDescent="0.2">
      <c r="B182" s="14"/>
    </row>
    <row r="183" spans="2:2" ht="15.75" customHeight="1" x14ac:dyDescent="0.2">
      <c r="B183" s="14"/>
    </row>
    <row r="184" spans="2:2" ht="15.75" customHeight="1" x14ac:dyDescent="0.2">
      <c r="B184" s="14"/>
    </row>
    <row r="185" spans="2:2" ht="15.75" customHeight="1" x14ac:dyDescent="0.2">
      <c r="B185" s="14"/>
    </row>
    <row r="186" spans="2:2" ht="15.75" customHeight="1" x14ac:dyDescent="0.2">
      <c r="B186" s="14"/>
    </row>
    <row r="187" spans="2:2" ht="15.75" customHeight="1" x14ac:dyDescent="0.2">
      <c r="B187" s="14"/>
    </row>
    <row r="188" spans="2:2" ht="15.75" customHeight="1" x14ac:dyDescent="0.2">
      <c r="B188" s="14"/>
    </row>
    <row r="189" spans="2:2" ht="15.75" customHeight="1" x14ac:dyDescent="0.2">
      <c r="B189" s="14"/>
    </row>
    <row r="190" spans="2:2" ht="15.75" customHeight="1" x14ac:dyDescent="0.2">
      <c r="B190" s="14"/>
    </row>
    <row r="191" spans="2:2" ht="15.75" customHeight="1" x14ac:dyDescent="0.2">
      <c r="B191" s="14"/>
    </row>
    <row r="192" spans="2:2" ht="15.75" customHeight="1" x14ac:dyDescent="0.2">
      <c r="B192" s="14"/>
    </row>
    <row r="193" spans="2:2" ht="15.75" customHeight="1" x14ac:dyDescent="0.2">
      <c r="B193" s="14"/>
    </row>
    <row r="194" spans="2:2" ht="15.75" customHeight="1" x14ac:dyDescent="0.2">
      <c r="B194" s="14"/>
    </row>
    <row r="195" spans="2:2" ht="15.75" customHeight="1" x14ac:dyDescent="0.2">
      <c r="B195" s="14"/>
    </row>
    <row r="196" spans="2:2" ht="15.75" customHeight="1" x14ac:dyDescent="0.2">
      <c r="B196" s="14"/>
    </row>
    <row r="197" spans="2:2" ht="15.75" customHeight="1" x14ac:dyDescent="0.2">
      <c r="B197" s="14"/>
    </row>
    <row r="198" spans="2:2" ht="15.75" customHeight="1" x14ac:dyDescent="0.2">
      <c r="B198" s="14"/>
    </row>
    <row r="199" spans="2:2" ht="15.75" customHeight="1" x14ac:dyDescent="0.2">
      <c r="B199" s="14"/>
    </row>
    <row r="200" spans="2:2" ht="15.75" customHeight="1" x14ac:dyDescent="0.2">
      <c r="B200" s="14"/>
    </row>
    <row r="201" spans="2:2" ht="15.75" customHeight="1" x14ac:dyDescent="0.2">
      <c r="B201" s="14"/>
    </row>
    <row r="202" spans="2:2" ht="15.75" customHeight="1" x14ac:dyDescent="0.2">
      <c r="B202" s="14"/>
    </row>
    <row r="203" spans="2:2" ht="15.75" customHeight="1" x14ac:dyDescent="0.2">
      <c r="B203" s="14"/>
    </row>
    <row r="204" spans="2:2" ht="15.75" customHeight="1" x14ac:dyDescent="0.2">
      <c r="B204" s="14"/>
    </row>
    <row r="205" spans="2:2" ht="15.75" customHeight="1" x14ac:dyDescent="0.2">
      <c r="B205" s="14"/>
    </row>
    <row r="206" spans="2:2" ht="15.75" customHeight="1" x14ac:dyDescent="0.2">
      <c r="B206" s="14"/>
    </row>
    <row r="207" spans="2:2" ht="15.75" customHeight="1" x14ac:dyDescent="0.2">
      <c r="B207" s="14"/>
    </row>
    <row r="208" spans="2:2" ht="15.75" customHeight="1" x14ac:dyDescent="0.2">
      <c r="B208" s="14"/>
    </row>
    <row r="209" spans="2:2" ht="15.75" customHeight="1" x14ac:dyDescent="0.2">
      <c r="B209" s="14"/>
    </row>
    <row r="210" spans="2:2" ht="15.75" customHeight="1" x14ac:dyDescent="0.2">
      <c r="B210" s="14"/>
    </row>
    <row r="211" spans="2:2" ht="15.75" customHeight="1" x14ac:dyDescent="0.2">
      <c r="B211" s="14"/>
    </row>
    <row r="212" spans="2:2" ht="15.75" customHeight="1" x14ac:dyDescent="0.2">
      <c r="B212" s="14"/>
    </row>
    <row r="213" spans="2:2" ht="15.75" customHeight="1" x14ac:dyDescent="0.2">
      <c r="B213" s="14"/>
    </row>
    <row r="214" spans="2:2" ht="15.75" customHeight="1" x14ac:dyDescent="0.2">
      <c r="B214" s="14"/>
    </row>
    <row r="215" spans="2:2" ht="15.75" customHeight="1" x14ac:dyDescent="0.2">
      <c r="B215" s="14"/>
    </row>
    <row r="216" spans="2:2" ht="15.75" customHeight="1" x14ac:dyDescent="0.2">
      <c r="B216" s="14"/>
    </row>
    <row r="217" spans="2:2" ht="15.75" customHeight="1" x14ac:dyDescent="0.2">
      <c r="B217" s="14"/>
    </row>
    <row r="218" spans="2:2" ht="15.75" customHeight="1" x14ac:dyDescent="0.2">
      <c r="B218" s="14"/>
    </row>
    <row r="219" spans="2:2" ht="15.75" customHeight="1" x14ac:dyDescent="0.2">
      <c r="B219" s="14"/>
    </row>
    <row r="220" spans="2:2" ht="15.75" customHeight="1" x14ac:dyDescent="0.2">
      <c r="B220" s="14"/>
    </row>
    <row r="221" spans="2:2" ht="15.75" customHeight="1" x14ac:dyDescent="0.2">
      <c r="B221" s="14"/>
    </row>
    <row r="222" spans="2:2" ht="15.75" customHeight="1" x14ac:dyDescent="0.2">
      <c r="B222" s="14"/>
    </row>
    <row r="223" spans="2:2" ht="15.75" customHeight="1" x14ac:dyDescent="0.2">
      <c r="B223" s="14"/>
    </row>
    <row r="224" spans="2:2" ht="15.75" customHeight="1" x14ac:dyDescent="0.2">
      <c r="B224" s="14"/>
    </row>
    <row r="225" spans="2:2" ht="15.75" customHeight="1" x14ac:dyDescent="0.2">
      <c r="B225" s="14"/>
    </row>
    <row r="226" spans="2:2" ht="15.75" customHeight="1" x14ac:dyDescent="0.2">
      <c r="B226" s="14"/>
    </row>
    <row r="227" spans="2:2" ht="15.75" customHeight="1" x14ac:dyDescent="0.2">
      <c r="B227" s="14"/>
    </row>
    <row r="228" spans="2:2" ht="15.75" customHeight="1" x14ac:dyDescent="0.2">
      <c r="B228" s="14"/>
    </row>
    <row r="229" spans="2:2" ht="15.75" customHeight="1" x14ac:dyDescent="0.2">
      <c r="B229" s="14"/>
    </row>
    <row r="230" spans="2:2" ht="15.75" customHeight="1" x14ac:dyDescent="0.2">
      <c r="B230" s="14"/>
    </row>
    <row r="231" spans="2:2" ht="15.75" customHeight="1" x14ac:dyDescent="0.2">
      <c r="B231" s="14"/>
    </row>
    <row r="232" spans="2:2" ht="15.75" customHeight="1" x14ac:dyDescent="0.2">
      <c r="B232" s="14"/>
    </row>
    <row r="233" spans="2:2" ht="15.75" customHeight="1" x14ac:dyDescent="0.2">
      <c r="B233" s="14"/>
    </row>
    <row r="234" spans="2:2" ht="15.75" customHeight="1" x14ac:dyDescent="0.2">
      <c r="B234" s="14"/>
    </row>
    <row r="235" spans="2:2" ht="15.75" customHeight="1" x14ac:dyDescent="0.2">
      <c r="B235" s="14"/>
    </row>
    <row r="236" spans="2:2" ht="15.75" customHeight="1" x14ac:dyDescent="0.2">
      <c r="B236" s="14"/>
    </row>
    <row r="237" spans="2:2" ht="15.75" customHeight="1" x14ac:dyDescent="0.2">
      <c r="B237" s="14"/>
    </row>
    <row r="238" spans="2:2" ht="15.75" customHeight="1" x14ac:dyDescent="0.2">
      <c r="B238" s="14"/>
    </row>
    <row r="239" spans="2:2" ht="15.75" customHeight="1" x14ac:dyDescent="0.2">
      <c r="B239" s="14"/>
    </row>
    <row r="240" spans="2:2" ht="15.75" customHeight="1" x14ac:dyDescent="0.2">
      <c r="B240" s="14"/>
    </row>
    <row r="241" spans="2:2" ht="15.75" customHeight="1" x14ac:dyDescent="0.2">
      <c r="B241" s="14"/>
    </row>
    <row r="242" spans="2:2" ht="15.75" customHeight="1" x14ac:dyDescent="0.2">
      <c r="B242" s="14"/>
    </row>
    <row r="243" spans="2:2" ht="15.75" customHeight="1" x14ac:dyDescent="0.2">
      <c r="B243" s="14"/>
    </row>
    <row r="244" spans="2:2" ht="15.75" customHeight="1" x14ac:dyDescent="0.2">
      <c r="B244" s="14"/>
    </row>
    <row r="245" spans="2:2" ht="15.75" customHeight="1" x14ac:dyDescent="0.2">
      <c r="B245" s="14"/>
    </row>
    <row r="246" spans="2:2" ht="15.75" customHeight="1" x14ac:dyDescent="0.2">
      <c r="B246" s="14"/>
    </row>
    <row r="247" spans="2:2" ht="15.75" customHeight="1" x14ac:dyDescent="0.2">
      <c r="B247" s="14"/>
    </row>
    <row r="248" spans="2:2" ht="15.75" customHeight="1" x14ac:dyDescent="0.2">
      <c r="B248" s="14"/>
    </row>
    <row r="249" spans="2:2" ht="15.75" customHeight="1" x14ac:dyDescent="0.2">
      <c r="B249" s="14"/>
    </row>
    <row r="250" spans="2:2" ht="15.75" customHeight="1" x14ac:dyDescent="0.2">
      <c r="B250" s="14"/>
    </row>
    <row r="251" spans="2:2" ht="15.75" customHeight="1" x14ac:dyDescent="0.2">
      <c r="B251" s="14"/>
    </row>
    <row r="252" spans="2:2" ht="15.75" customHeight="1" x14ac:dyDescent="0.2">
      <c r="B252" s="14"/>
    </row>
    <row r="253" spans="2:2" ht="15.75" customHeight="1" x14ac:dyDescent="0.2">
      <c r="B253" s="14"/>
    </row>
    <row r="254" spans="2:2" ht="15.75" customHeight="1" x14ac:dyDescent="0.2">
      <c r="B254" s="14"/>
    </row>
    <row r="255" spans="2:2" ht="15.75" customHeight="1" x14ac:dyDescent="0.2">
      <c r="B255" s="14"/>
    </row>
    <row r="256" spans="2:2" ht="15.75" customHeight="1" x14ac:dyDescent="0.2">
      <c r="B256" s="14"/>
    </row>
    <row r="257" spans="2:2" ht="15.75" customHeight="1" x14ac:dyDescent="0.2">
      <c r="B257" s="14"/>
    </row>
    <row r="258" spans="2:2" ht="15.75" customHeight="1" x14ac:dyDescent="0.2">
      <c r="B258" s="14"/>
    </row>
    <row r="259" spans="2:2" ht="15.75" customHeight="1" x14ac:dyDescent="0.2">
      <c r="B259" s="14"/>
    </row>
    <row r="260" spans="2:2" ht="15.75" customHeight="1" x14ac:dyDescent="0.2">
      <c r="B260" s="14"/>
    </row>
    <row r="261" spans="2:2" ht="15.75" customHeight="1" x14ac:dyDescent="0.2">
      <c r="B261" s="14"/>
    </row>
    <row r="262" spans="2:2" ht="15.75" customHeight="1" x14ac:dyDescent="0.2">
      <c r="B262" s="14"/>
    </row>
    <row r="263" spans="2:2" ht="15.75" customHeight="1" x14ac:dyDescent="0.2">
      <c r="B263" s="14"/>
    </row>
    <row r="264" spans="2:2" ht="15.75" customHeight="1" x14ac:dyDescent="0.2">
      <c r="B264" s="14"/>
    </row>
    <row r="265" spans="2:2" ht="15.75" customHeight="1" x14ac:dyDescent="0.2">
      <c r="B265" s="14"/>
    </row>
    <row r="266" spans="2:2" ht="15.75" customHeight="1" x14ac:dyDescent="0.2">
      <c r="B266" s="14"/>
    </row>
    <row r="267" spans="2:2" ht="15.75" customHeight="1" x14ac:dyDescent="0.2">
      <c r="B267" s="14"/>
    </row>
    <row r="268" spans="2:2" ht="15.75" customHeight="1" x14ac:dyDescent="0.2">
      <c r="B268" s="14"/>
    </row>
    <row r="269" spans="2:2" ht="15.75" customHeight="1" x14ac:dyDescent="0.2">
      <c r="B269" s="14"/>
    </row>
    <row r="270" spans="2:2" ht="15.75" customHeight="1" x14ac:dyDescent="0.2">
      <c r="B270" s="14"/>
    </row>
    <row r="271" spans="2:2" ht="15.75" customHeight="1" x14ac:dyDescent="0.2">
      <c r="B271" s="14"/>
    </row>
    <row r="272" spans="2:2" ht="15.75" customHeight="1" x14ac:dyDescent="0.2">
      <c r="B272" s="14"/>
    </row>
    <row r="273" spans="2:2" ht="15.75" customHeight="1" x14ac:dyDescent="0.2">
      <c r="B273" s="14"/>
    </row>
    <row r="274" spans="2:2" ht="15.75" customHeight="1" x14ac:dyDescent="0.2">
      <c r="B274" s="14"/>
    </row>
    <row r="275" spans="2:2" ht="15.75" customHeight="1" x14ac:dyDescent="0.2">
      <c r="B275" s="14"/>
    </row>
    <row r="276" spans="2:2" ht="15.75" customHeight="1" x14ac:dyDescent="0.2">
      <c r="B276" s="14"/>
    </row>
    <row r="277" spans="2:2" ht="15.75" customHeight="1" x14ac:dyDescent="0.2">
      <c r="B277" s="14"/>
    </row>
    <row r="278" spans="2:2" ht="15.75" customHeight="1" x14ac:dyDescent="0.2">
      <c r="B278" s="14"/>
    </row>
    <row r="279" spans="2:2" ht="15.75" customHeight="1" x14ac:dyDescent="0.2">
      <c r="B279" s="14"/>
    </row>
    <row r="280" spans="2:2" ht="15.75" customHeight="1" x14ac:dyDescent="0.2">
      <c r="B280" s="14"/>
    </row>
    <row r="281" spans="2:2" ht="15.75" customHeight="1" x14ac:dyDescent="0.2">
      <c r="B281" s="14"/>
    </row>
    <row r="282" spans="2:2" ht="15.75" customHeight="1" x14ac:dyDescent="0.2">
      <c r="B282" s="14"/>
    </row>
    <row r="283" spans="2:2" ht="15.75" customHeight="1" x14ac:dyDescent="0.2">
      <c r="B283" s="14"/>
    </row>
    <row r="284" spans="2:2" ht="15.75" customHeight="1" x14ac:dyDescent="0.2">
      <c r="B284" s="14"/>
    </row>
    <row r="285" spans="2:2" ht="15.75" customHeight="1" x14ac:dyDescent="0.2">
      <c r="B285" s="14"/>
    </row>
    <row r="286" spans="2:2" ht="15.75" customHeight="1" x14ac:dyDescent="0.2">
      <c r="B286" s="14"/>
    </row>
    <row r="287" spans="2:2" ht="15.75" customHeight="1" x14ac:dyDescent="0.2">
      <c r="B287" s="14"/>
    </row>
    <row r="288" spans="2:2" ht="15.75" customHeight="1" x14ac:dyDescent="0.2">
      <c r="B288" s="14"/>
    </row>
    <row r="289" spans="2:2" ht="15.75" customHeight="1" x14ac:dyDescent="0.2">
      <c r="B289" s="14"/>
    </row>
    <row r="290" spans="2:2" ht="15.75" customHeight="1" x14ac:dyDescent="0.2">
      <c r="B290" s="14"/>
    </row>
    <row r="291" spans="2:2" ht="15.75" customHeight="1" x14ac:dyDescent="0.2">
      <c r="B291" s="14"/>
    </row>
    <row r="292" spans="2:2" ht="15.75" customHeight="1" x14ac:dyDescent="0.2">
      <c r="B292" s="14"/>
    </row>
    <row r="293" spans="2:2" ht="15.75" customHeight="1" x14ac:dyDescent="0.2">
      <c r="B293" s="14"/>
    </row>
    <row r="294" spans="2:2" ht="15.75" customHeight="1" x14ac:dyDescent="0.2">
      <c r="B294" s="14"/>
    </row>
    <row r="295" spans="2:2" ht="15.75" customHeight="1" x14ac:dyDescent="0.2">
      <c r="B295" s="14"/>
    </row>
    <row r="296" spans="2:2" ht="15.75" customHeight="1" x14ac:dyDescent="0.2">
      <c r="B296" s="14"/>
    </row>
    <row r="297" spans="2:2" ht="15.75" customHeight="1" x14ac:dyDescent="0.2">
      <c r="B297" s="14"/>
    </row>
    <row r="298" spans="2:2" ht="15.75" customHeight="1" x14ac:dyDescent="0.2">
      <c r="B298" s="14"/>
    </row>
    <row r="299" spans="2:2" ht="15.75" customHeight="1" x14ac:dyDescent="0.2">
      <c r="B299" s="14"/>
    </row>
    <row r="300" spans="2:2" ht="15.75" customHeight="1" x14ac:dyDescent="0.2">
      <c r="B300" s="14"/>
    </row>
    <row r="301" spans="2:2" ht="15.75" customHeight="1" x14ac:dyDescent="0.2">
      <c r="B301" s="14"/>
    </row>
    <row r="302" spans="2:2" ht="15.75" customHeight="1" x14ac:dyDescent="0.2">
      <c r="B302" s="14"/>
    </row>
    <row r="303" spans="2:2" ht="15.75" customHeight="1" x14ac:dyDescent="0.2">
      <c r="B303" s="14"/>
    </row>
    <row r="304" spans="2:2" ht="15.75" customHeight="1" x14ac:dyDescent="0.2">
      <c r="B304" s="14"/>
    </row>
    <row r="305" spans="2:2" ht="15.75" customHeight="1" x14ac:dyDescent="0.2">
      <c r="B305" s="14"/>
    </row>
    <row r="306" spans="2:2" ht="15.75" customHeight="1" x14ac:dyDescent="0.2">
      <c r="B306" s="14"/>
    </row>
    <row r="307" spans="2:2" ht="15.75" customHeight="1" x14ac:dyDescent="0.2">
      <c r="B307" s="14"/>
    </row>
    <row r="308" spans="2:2" ht="15.75" customHeight="1" x14ac:dyDescent="0.2">
      <c r="B308" s="14"/>
    </row>
    <row r="309" spans="2:2" ht="15.75" customHeight="1" x14ac:dyDescent="0.2">
      <c r="B309" s="14"/>
    </row>
    <row r="310" spans="2:2" ht="15.75" customHeight="1" x14ac:dyDescent="0.2">
      <c r="B310" s="14"/>
    </row>
    <row r="311" spans="2:2" ht="15.75" customHeight="1" x14ac:dyDescent="0.2">
      <c r="B311" s="14"/>
    </row>
    <row r="312" spans="2:2" ht="15.75" customHeight="1" x14ac:dyDescent="0.2">
      <c r="B312" s="14"/>
    </row>
    <row r="313" spans="2:2" ht="15.75" customHeight="1" x14ac:dyDescent="0.2">
      <c r="B313" s="14"/>
    </row>
    <row r="314" spans="2:2" ht="15.75" customHeight="1" x14ac:dyDescent="0.2">
      <c r="B314" s="14"/>
    </row>
    <row r="315" spans="2:2" ht="15.75" customHeight="1" x14ac:dyDescent="0.2">
      <c r="B315" s="14"/>
    </row>
    <row r="316" spans="2:2" ht="15.75" customHeight="1" x14ac:dyDescent="0.2">
      <c r="B316" s="14"/>
    </row>
    <row r="317" spans="2:2" ht="15.75" customHeight="1" x14ac:dyDescent="0.2">
      <c r="B317" s="14"/>
    </row>
    <row r="318" spans="2:2" ht="15.75" customHeight="1" x14ac:dyDescent="0.2">
      <c r="B318" s="14"/>
    </row>
    <row r="319" spans="2:2" ht="15.75" customHeight="1" x14ac:dyDescent="0.2">
      <c r="B319" s="14"/>
    </row>
    <row r="320" spans="2:2" ht="15.75" customHeight="1" x14ac:dyDescent="0.2">
      <c r="B320" s="14"/>
    </row>
    <row r="321" spans="2:2" ht="15.75" customHeight="1" x14ac:dyDescent="0.2">
      <c r="B321" s="14"/>
    </row>
    <row r="322" spans="2:2" ht="15.75" customHeight="1" x14ac:dyDescent="0.2">
      <c r="B322" s="14"/>
    </row>
    <row r="323" spans="2:2" ht="15.75" customHeight="1" x14ac:dyDescent="0.2">
      <c r="B323" s="14"/>
    </row>
    <row r="324" spans="2:2" ht="15.75" customHeight="1" x14ac:dyDescent="0.2">
      <c r="B324" s="14"/>
    </row>
    <row r="325" spans="2:2" ht="15.75" customHeight="1" x14ac:dyDescent="0.2">
      <c r="B325" s="14"/>
    </row>
    <row r="326" spans="2:2" ht="15.75" customHeight="1" x14ac:dyDescent="0.2">
      <c r="B326" s="14"/>
    </row>
    <row r="327" spans="2:2" ht="15.75" customHeight="1" x14ac:dyDescent="0.2">
      <c r="B327" s="14"/>
    </row>
    <row r="328" spans="2:2" ht="15.75" customHeight="1" x14ac:dyDescent="0.2">
      <c r="B328" s="14"/>
    </row>
    <row r="329" spans="2:2" ht="15.75" customHeight="1" x14ac:dyDescent="0.2">
      <c r="B329" s="14"/>
    </row>
    <row r="330" spans="2:2" ht="15.75" customHeight="1" x14ac:dyDescent="0.2">
      <c r="B330" s="14"/>
    </row>
    <row r="331" spans="2:2" ht="15.75" customHeight="1" x14ac:dyDescent="0.2">
      <c r="B331" s="14"/>
    </row>
    <row r="332" spans="2:2" ht="15.75" customHeight="1" x14ac:dyDescent="0.2">
      <c r="B332" s="14"/>
    </row>
    <row r="333" spans="2:2" ht="15.75" customHeight="1" x14ac:dyDescent="0.2">
      <c r="B333" s="14"/>
    </row>
    <row r="334" spans="2:2" ht="15.75" customHeight="1" x14ac:dyDescent="0.2">
      <c r="B334" s="14"/>
    </row>
    <row r="335" spans="2:2" ht="15.75" customHeight="1" x14ac:dyDescent="0.2">
      <c r="B335" s="14"/>
    </row>
    <row r="336" spans="2:2" ht="15.75" customHeight="1" x14ac:dyDescent="0.2">
      <c r="B336" s="14"/>
    </row>
    <row r="337" spans="2:2" ht="15.75" customHeight="1" x14ac:dyDescent="0.2">
      <c r="B337" s="14"/>
    </row>
    <row r="338" spans="2:2" ht="15.75" customHeight="1" x14ac:dyDescent="0.2">
      <c r="B338" s="14"/>
    </row>
    <row r="339" spans="2:2" ht="15.75" customHeight="1" x14ac:dyDescent="0.2">
      <c r="B339" s="14"/>
    </row>
    <row r="340" spans="2:2" ht="15.75" customHeight="1" x14ac:dyDescent="0.2">
      <c r="B340" s="14"/>
    </row>
    <row r="341" spans="2:2" ht="15.75" customHeight="1" x14ac:dyDescent="0.2">
      <c r="B341" s="14"/>
    </row>
    <row r="342" spans="2:2" ht="15.75" customHeight="1" x14ac:dyDescent="0.2">
      <c r="B342" s="14"/>
    </row>
    <row r="343" spans="2:2" ht="15.75" customHeight="1" x14ac:dyDescent="0.2">
      <c r="B343" s="14"/>
    </row>
    <row r="344" spans="2:2" ht="15.75" customHeight="1" x14ac:dyDescent="0.2">
      <c r="B344" s="14"/>
    </row>
    <row r="345" spans="2:2" ht="15.75" customHeight="1" x14ac:dyDescent="0.2">
      <c r="B345" s="14"/>
    </row>
    <row r="346" spans="2:2" ht="15.75" customHeight="1" x14ac:dyDescent="0.2">
      <c r="B346" s="14"/>
    </row>
    <row r="347" spans="2:2" ht="15.75" customHeight="1" x14ac:dyDescent="0.2">
      <c r="B347" s="14"/>
    </row>
    <row r="348" spans="2:2" ht="15.75" customHeight="1" x14ac:dyDescent="0.2">
      <c r="B348" s="14"/>
    </row>
    <row r="349" spans="2:2" ht="15.75" customHeight="1" x14ac:dyDescent="0.2">
      <c r="B349" s="14"/>
    </row>
    <row r="350" spans="2:2" ht="15.75" customHeight="1" x14ac:dyDescent="0.2">
      <c r="B350" s="14"/>
    </row>
    <row r="351" spans="2:2" ht="15.75" customHeight="1" x14ac:dyDescent="0.2">
      <c r="B351" s="14"/>
    </row>
    <row r="352" spans="2:2" ht="15.75" customHeight="1" x14ac:dyDescent="0.2">
      <c r="B352" s="14"/>
    </row>
    <row r="353" spans="2:2" ht="15.75" customHeight="1" x14ac:dyDescent="0.2">
      <c r="B353" s="14"/>
    </row>
    <row r="354" spans="2:2" ht="15.75" customHeight="1" x14ac:dyDescent="0.2">
      <c r="B354" s="14"/>
    </row>
    <row r="355" spans="2:2" ht="15.75" customHeight="1" x14ac:dyDescent="0.2">
      <c r="B355" s="14"/>
    </row>
    <row r="356" spans="2:2" ht="15.75" customHeight="1" x14ac:dyDescent="0.2">
      <c r="B356" s="14"/>
    </row>
    <row r="357" spans="2:2" ht="15.75" customHeight="1" x14ac:dyDescent="0.2">
      <c r="B357" s="14"/>
    </row>
    <row r="358" spans="2:2" ht="15.75" customHeight="1" x14ac:dyDescent="0.2">
      <c r="B358" s="14"/>
    </row>
    <row r="359" spans="2:2" ht="15.75" customHeight="1" x14ac:dyDescent="0.2">
      <c r="B359" s="14"/>
    </row>
    <row r="360" spans="2:2" ht="15.75" customHeight="1" x14ac:dyDescent="0.2">
      <c r="B360" s="14"/>
    </row>
    <row r="361" spans="2:2" ht="15.75" customHeight="1" x14ac:dyDescent="0.2">
      <c r="B361" s="14"/>
    </row>
    <row r="362" spans="2:2" ht="15.75" customHeight="1" x14ac:dyDescent="0.2">
      <c r="B362" s="14"/>
    </row>
    <row r="363" spans="2:2" ht="15.75" customHeight="1" x14ac:dyDescent="0.2">
      <c r="B363" s="14"/>
    </row>
    <row r="364" spans="2:2" ht="15.75" customHeight="1" x14ac:dyDescent="0.2">
      <c r="B364" s="14"/>
    </row>
    <row r="365" spans="2:2" ht="15.75" customHeight="1" x14ac:dyDescent="0.2">
      <c r="B365" s="14"/>
    </row>
    <row r="366" spans="2:2" ht="15.75" customHeight="1" x14ac:dyDescent="0.2">
      <c r="B366" s="14"/>
    </row>
    <row r="367" spans="2:2" ht="15.75" customHeight="1" x14ac:dyDescent="0.2">
      <c r="B367" s="14"/>
    </row>
    <row r="368" spans="2:2" ht="15.75" customHeight="1" x14ac:dyDescent="0.2">
      <c r="B368" s="14"/>
    </row>
    <row r="369" spans="2:2" ht="15.75" customHeight="1" x14ac:dyDescent="0.2">
      <c r="B369" s="14"/>
    </row>
    <row r="370" spans="2:2" ht="15.75" customHeight="1" x14ac:dyDescent="0.2">
      <c r="B370" s="14"/>
    </row>
    <row r="371" spans="2:2" ht="15.75" customHeight="1" x14ac:dyDescent="0.2">
      <c r="B371" s="14"/>
    </row>
    <row r="372" spans="2:2" ht="15.75" customHeight="1" x14ac:dyDescent="0.2">
      <c r="B372" s="14"/>
    </row>
    <row r="373" spans="2:2" ht="15.75" customHeight="1" x14ac:dyDescent="0.2">
      <c r="B373" s="14"/>
    </row>
    <row r="374" spans="2:2" ht="15.75" customHeight="1" x14ac:dyDescent="0.2">
      <c r="B374" s="14"/>
    </row>
    <row r="375" spans="2:2" ht="15.75" customHeight="1" x14ac:dyDescent="0.2">
      <c r="B375" s="14"/>
    </row>
    <row r="376" spans="2:2" ht="15.75" customHeight="1" x14ac:dyDescent="0.2">
      <c r="B376" s="14"/>
    </row>
    <row r="377" spans="2:2" ht="15.75" customHeight="1" x14ac:dyDescent="0.2">
      <c r="B377" s="14"/>
    </row>
    <row r="378" spans="2:2" ht="15.75" customHeight="1" x14ac:dyDescent="0.2">
      <c r="B378" s="14"/>
    </row>
    <row r="379" spans="2:2" ht="15.75" customHeight="1" x14ac:dyDescent="0.2">
      <c r="B379" s="14"/>
    </row>
    <row r="380" spans="2:2" ht="15.75" customHeight="1" x14ac:dyDescent="0.2">
      <c r="B380" s="14"/>
    </row>
    <row r="381" spans="2:2" ht="15.75" customHeight="1" x14ac:dyDescent="0.2">
      <c r="B381" s="14"/>
    </row>
    <row r="382" spans="2:2" ht="15.75" customHeight="1" x14ac:dyDescent="0.2">
      <c r="B382" s="14"/>
    </row>
    <row r="383" spans="2:2" ht="15.75" customHeight="1" x14ac:dyDescent="0.2">
      <c r="B383" s="14"/>
    </row>
    <row r="384" spans="2:2" ht="15.75" customHeight="1" x14ac:dyDescent="0.2">
      <c r="B384" s="14"/>
    </row>
    <row r="385" spans="2:2" ht="15.75" customHeight="1" x14ac:dyDescent="0.2">
      <c r="B385" s="14"/>
    </row>
    <row r="386" spans="2:2" ht="15.75" customHeight="1" x14ac:dyDescent="0.2">
      <c r="B386" s="14"/>
    </row>
    <row r="387" spans="2:2" ht="15.75" customHeight="1" x14ac:dyDescent="0.2">
      <c r="B387" s="14"/>
    </row>
    <row r="388" spans="2:2" ht="15.75" customHeight="1" x14ac:dyDescent="0.2">
      <c r="B388" s="14"/>
    </row>
    <row r="389" spans="2:2" ht="15.75" customHeight="1" x14ac:dyDescent="0.2">
      <c r="B389" s="14"/>
    </row>
    <row r="390" spans="2:2" ht="15.75" customHeight="1" x14ac:dyDescent="0.2">
      <c r="B390" s="14"/>
    </row>
    <row r="391" spans="2:2" ht="15.75" customHeight="1" x14ac:dyDescent="0.2">
      <c r="B391" s="14"/>
    </row>
    <row r="392" spans="2:2" ht="15.75" customHeight="1" x14ac:dyDescent="0.2">
      <c r="B392" s="14"/>
    </row>
    <row r="393" spans="2:2" ht="15.75" customHeight="1" x14ac:dyDescent="0.2">
      <c r="B393" s="14"/>
    </row>
    <row r="394" spans="2:2" ht="15.75" customHeight="1" x14ac:dyDescent="0.2">
      <c r="B394" s="14"/>
    </row>
    <row r="395" spans="2:2" ht="15.75" customHeight="1" x14ac:dyDescent="0.2">
      <c r="B395" s="14"/>
    </row>
    <row r="396" spans="2:2" ht="15.75" customHeight="1" x14ac:dyDescent="0.2">
      <c r="B396" s="14"/>
    </row>
    <row r="397" spans="2:2" ht="15.75" customHeight="1" x14ac:dyDescent="0.2">
      <c r="B397" s="14"/>
    </row>
    <row r="398" spans="2:2" ht="15.75" customHeight="1" x14ac:dyDescent="0.2">
      <c r="B398" s="14"/>
    </row>
    <row r="399" spans="2:2" ht="15.75" customHeight="1" x14ac:dyDescent="0.2">
      <c r="B399" s="14"/>
    </row>
    <row r="400" spans="2:2" ht="15.75" customHeight="1" x14ac:dyDescent="0.2">
      <c r="B400" s="14"/>
    </row>
    <row r="401" spans="2:2" ht="15.75" customHeight="1" x14ac:dyDescent="0.2">
      <c r="B401" s="14"/>
    </row>
    <row r="402" spans="2:2" ht="15.75" customHeight="1" x14ac:dyDescent="0.2">
      <c r="B402" s="14"/>
    </row>
    <row r="403" spans="2:2" ht="15.75" customHeight="1" x14ac:dyDescent="0.2">
      <c r="B403" s="14"/>
    </row>
    <row r="404" spans="2:2" ht="15.75" customHeight="1" x14ac:dyDescent="0.2">
      <c r="B404" s="14"/>
    </row>
    <row r="405" spans="2:2" ht="15.75" customHeight="1" x14ac:dyDescent="0.2">
      <c r="B405" s="14"/>
    </row>
    <row r="406" spans="2:2" ht="15.75" customHeight="1" x14ac:dyDescent="0.2">
      <c r="B406" s="14"/>
    </row>
    <row r="407" spans="2:2" ht="15.75" customHeight="1" x14ac:dyDescent="0.2">
      <c r="B407" s="14"/>
    </row>
    <row r="408" spans="2:2" ht="15.75" customHeight="1" x14ac:dyDescent="0.2">
      <c r="B408" s="14"/>
    </row>
    <row r="409" spans="2:2" ht="15.75" customHeight="1" x14ac:dyDescent="0.2">
      <c r="B409" s="14"/>
    </row>
    <row r="410" spans="2:2" ht="15.75" customHeight="1" x14ac:dyDescent="0.2">
      <c r="B410" s="14"/>
    </row>
    <row r="411" spans="2:2" ht="15.75" customHeight="1" x14ac:dyDescent="0.2">
      <c r="B411" s="14"/>
    </row>
    <row r="412" spans="2:2" ht="15.75" customHeight="1" x14ac:dyDescent="0.2">
      <c r="B412" s="14"/>
    </row>
    <row r="413" spans="2:2" ht="15.75" customHeight="1" x14ac:dyDescent="0.2">
      <c r="B413" s="14"/>
    </row>
    <row r="414" spans="2:2" ht="15.75" customHeight="1" x14ac:dyDescent="0.2">
      <c r="B414" s="14"/>
    </row>
    <row r="415" spans="2:2" ht="15.75" customHeight="1" x14ac:dyDescent="0.2">
      <c r="B415" s="14"/>
    </row>
    <row r="416" spans="2:2" ht="15.75" customHeight="1" x14ac:dyDescent="0.2">
      <c r="B416" s="14"/>
    </row>
    <row r="417" spans="2:2" ht="15.75" customHeight="1" x14ac:dyDescent="0.2">
      <c r="B417" s="14"/>
    </row>
    <row r="418" spans="2:2" ht="15.75" customHeight="1" x14ac:dyDescent="0.2">
      <c r="B418" s="14"/>
    </row>
    <row r="419" spans="2:2" ht="15.75" customHeight="1" x14ac:dyDescent="0.2">
      <c r="B419" s="14"/>
    </row>
    <row r="420" spans="2:2" ht="15.75" customHeight="1" x14ac:dyDescent="0.2">
      <c r="B420" s="14"/>
    </row>
    <row r="421" spans="2:2" ht="15.75" customHeight="1" x14ac:dyDescent="0.2">
      <c r="B421" s="14"/>
    </row>
    <row r="422" spans="2:2" ht="15.75" customHeight="1" x14ac:dyDescent="0.2">
      <c r="B422" s="14"/>
    </row>
    <row r="423" spans="2:2" ht="15.75" customHeight="1" x14ac:dyDescent="0.2">
      <c r="B423" s="14"/>
    </row>
    <row r="424" spans="2:2" ht="15.75" customHeight="1" x14ac:dyDescent="0.2">
      <c r="B424" s="14"/>
    </row>
    <row r="425" spans="2:2" ht="15.75" customHeight="1" x14ac:dyDescent="0.2">
      <c r="B425" s="14"/>
    </row>
    <row r="426" spans="2:2" ht="15.75" customHeight="1" x14ac:dyDescent="0.2">
      <c r="B426" s="14"/>
    </row>
    <row r="427" spans="2:2" ht="15.75" customHeight="1" x14ac:dyDescent="0.2">
      <c r="B427" s="14"/>
    </row>
    <row r="428" spans="2:2" ht="15.75" customHeight="1" x14ac:dyDescent="0.2">
      <c r="B428" s="14"/>
    </row>
    <row r="429" spans="2:2" ht="15.75" customHeight="1" x14ac:dyDescent="0.2">
      <c r="B429" s="14"/>
    </row>
    <row r="430" spans="2:2" ht="15.75" customHeight="1" x14ac:dyDescent="0.2">
      <c r="B430" s="14"/>
    </row>
    <row r="431" spans="2:2" ht="15.75" customHeight="1" x14ac:dyDescent="0.2">
      <c r="B431" s="14"/>
    </row>
    <row r="432" spans="2:2" ht="15.75" customHeight="1" x14ac:dyDescent="0.2">
      <c r="B432" s="14"/>
    </row>
    <row r="433" spans="2:2" ht="15.75" customHeight="1" x14ac:dyDescent="0.2">
      <c r="B433" s="14"/>
    </row>
    <row r="434" spans="2:2" ht="15.75" customHeight="1" x14ac:dyDescent="0.2">
      <c r="B434" s="14"/>
    </row>
    <row r="435" spans="2:2" ht="15.75" customHeight="1" x14ac:dyDescent="0.2">
      <c r="B435" s="14"/>
    </row>
    <row r="436" spans="2:2" ht="15.75" customHeight="1" x14ac:dyDescent="0.2">
      <c r="B436" s="14"/>
    </row>
    <row r="437" spans="2:2" ht="15.75" customHeight="1" x14ac:dyDescent="0.2">
      <c r="B437" s="14"/>
    </row>
    <row r="438" spans="2:2" ht="15.75" customHeight="1" x14ac:dyDescent="0.2">
      <c r="B438" s="14"/>
    </row>
    <row r="439" spans="2:2" ht="15.75" customHeight="1" x14ac:dyDescent="0.2">
      <c r="B439" s="14"/>
    </row>
    <row r="440" spans="2:2" ht="15.75" customHeight="1" x14ac:dyDescent="0.2">
      <c r="B440" s="14"/>
    </row>
    <row r="441" spans="2:2" ht="15.75" customHeight="1" x14ac:dyDescent="0.2">
      <c r="B441" s="14"/>
    </row>
    <row r="442" spans="2:2" ht="15.75" customHeight="1" x14ac:dyDescent="0.2">
      <c r="B442" s="14"/>
    </row>
    <row r="443" spans="2:2" ht="15.75" customHeight="1" x14ac:dyDescent="0.2">
      <c r="B443" s="14"/>
    </row>
    <row r="444" spans="2:2" ht="15.75" customHeight="1" x14ac:dyDescent="0.2">
      <c r="B444" s="14"/>
    </row>
    <row r="445" spans="2:2" ht="15.75" customHeight="1" x14ac:dyDescent="0.2">
      <c r="B445" s="14"/>
    </row>
    <row r="446" spans="2:2" ht="15.75" customHeight="1" x14ac:dyDescent="0.2">
      <c r="B446" s="14"/>
    </row>
    <row r="447" spans="2:2" ht="15.75" customHeight="1" x14ac:dyDescent="0.2">
      <c r="B447" s="14"/>
    </row>
    <row r="448" spans="2:2" ht="15.75" customHeight="1" x14ac:dyDescent="0.2">
      <c r="B448" s="14"/>
    </row>
    <row r="449" spans="2:2" ht="15.75" customHeight="1" x14ac:dyDescent="0.2">
      <c r="B449" s="14"/>
    </row>
    <row r="450" spans="2:2" ht="15.75" customHeight="1" x14ac:dyDescent="0.2">
      <c r="B450" s="14"/>
    </row>
    <row r="451" spans="2:2" ht="15.75" customHeight="1" x14ac:dyDescent="0.2">
      <c r="B451" s="14"/>
    </row>
    <row r="452" spans="2:2" ht="15.75" customHeight="1" x14ac:dyDescent="0.2">
      <c r="B452" s="14"/>
    </row>
    <row r="453" spans="2:2" ht="15.75" customHeight="1" x14ac:dyDescent="0.2">
      <c r="B453" s="14"/>
    </row>
    <row r="454" spans="2:2" ht="15.75" customHeight="1" x14ac:dyDescent="0.2">
      <c r="B454" s="14"/>
    </row>
    <row r="455" spans="2:2" ht="15.75" customHeight="1" x14ac:dyDescent="0.2">
      <c r="B455" s="14"/>
    </row>
    <row r="456" spans="2:2" ht="15.75" customHeight="1" x14ac:dyDescent="0.2">
      <c r="B456" s="14"/>
    </row>
    <row r="457" spans="2:2" ht="15.75" customHeight="1" x14ac:dyDescent="0.2">
      <c r="B457" s="14"/>
    </row>
    <row r="458" spans="2:2" ht="15.75" customHeight="1" x14ac:dyDescent="0.2">
      <c r="B458" s="14"/>
    </row>
    <row r="459" spans="2:2" ht="15.75" customHeight="1" x14ac:dyDescent="0.2">
      <c r="B459" s="14"/>
    </row>
    <row r="460" spans="2:2" ht="15.75" customHeight="1" x14ac:dyDescent="0.2">
      <c r="B460" s="14"/>
    </row>
    <row r="461" spans="2:2" ht="15.75" customHeight="1" x14ac:dyDescent="0.2">
      <c r="B461" s="14"/>
    </row>
    <row r="462" spans="2:2" ht="15.75" customHeight="1" x14ac:dyDescent="0.2">
      <c r="B462" s="14"/>
    </row>
    <row r="463" spans="2:2" ht="15.75" customHeight="1" x14ac:dyDescent="0.2">
      <c r="B463" s="14"/>
    </row>
    <row r="464" spans="2:2" ht="15.75" customHeight="1" x14ac:dyDescent="0.2">
      <c r="B464" s="14"/>
    </row>
    <row r="465" spans="2:2" ht="15.75" customHeight="1" x14ac:dyDescent="0.2">
      <c r="B465" s="14"/>
    </row>
    <row r="466" spans="2:2" ht="15.75" customHeight="1" x14ac:dyDescent="0.2">
      <c r="B466" s="14"/>
    </row>
    <row r="467" spans="2:2" ht="15.75" customHeight="1" x14ac:dyDescent="0.2">
      <c r="B467" s="14"/>
    </row>
    <row r="468" spans="2:2" ht="15.75" customHeight="1" x14ac:dyDescent="0.2">
      <c r="B468" s="14"/>
    </row>
    <row r="469" spans="2:2" ht="15.75" customHeight="1" x14ac:dyDescent="0.2">
      <c r="B469" s="14"/>
    </row>
    <row r="470" spans="2:2" ht="15.75" customHeight="1" x14ac:dyDescent="0.2">
      <c r="B470" s="14"/>
    </row>
    <row r="471" spans="2:2" ht="15.75" customHeight="1" x14ac:dyDescent="0.2">
      <c r="B471" s="14"/>
    </row>
    <row r="472" spans="2:2" ht="15.75" customHeight="1" x14ac:dyDescent="0.2">
      <c r="B472" s="14"/>
    </row>
    <row r="473" spans="2:2" ht="15.75" customHeight="1" x14ac:dyDescent="0.2">
      <c r="B473" s="14"/>
    </row>
    <row r="474" spans="2:2" ht="15.75" customHeight="1" x14ac:dyDescent="0.2">
      <c r="B474" s="14"/>
    </row>
    <row r="475" spans="2:2" ht="15.75" customHeight="1" x14ac:dyDescent="0.2">
      <c r="B475" s="14"/>
    </row>
    <row r="476" spans="2:2" ht="15.75" customHeight="1" x14ac:dyDescent="0.2">
      <c r="B476" s="14"/>
    </row>
    <row r="477" spans="2:2" ht="15.75" customHeight="1" x14ac:dyDescent="0.2">
      <c r="B477" s="14"/>
    </row>
    <row r="478" spans="2:2" ht="15.75" customHeight="1" x14ac:dyDescent="0.2">
      <c r="B478" s="14"/>
    </row>
    <row r="479" spans="2:2" ht="15.75" customHeight="1" x14ac:dyDescent="0.2">
      <c r="B479" s="14"/>
    </row>
    <row r="480" spans="2:2" ht="15.75" customHeight="1" x14ac:dyDescent="0.2">
      <c r="B480" s="14"/>
    </row>
    <row r="481" spans="2:2" ht="15.75" customHeight="1" x14ac:dyDescent="0.2">
      <c r="B481" s="14"/>
    </row>
    <row r="482" spans="2:2" ht="15.75" customHeight="1" x14ac:dyDescent="0.2">
      <c r="B482" s="14"/>
    </row>
    <row r="483" spans="2:2" ht="15.75" customHeight="1" x14ac:dyDescent="0.2">
      <c r="B483" s="14"/>
    </row>
    <row r="484" spans="2:2" ht="15.75" customHeight="1" x14ac:dyDescent="0.2">
      <c r="B484" s="14"/>
    </row>
    <row r="485" spans="2:2" ht="15.75" customHeight="1" x14ac:dyDescent="0.2">
      <c r="B485" s="14"/>
    </row>
    <row r="486" spans="2:2" ht="15.75" customHeight="1" x14ac:dyDescent="0.2">
      <c r="B486" s="14"/>
    </row>
    <row r="487" spans="2:2" ht="15.75" customHeight="1" x14ac:dyDescent="0.2">
      <c r="B487" s="14"/>
    </row>
    <row r="488" spans="2:2" ht="15.75" customHeight="1" x14ac:dyDescent="0.2">
      <c r="B488" s="14"/>
    </row>
    <row r="489" spans="2:2" ht="15.75" customHeight="1" x14ac:dyDescent="0.2">
      <c r="B489" s="14"/>
    </row>
    <row r="490" spans="2:2" ht="15.75" customHeight="1" x14ac:dyDescent="0.2">
      <c r="B490" s="14"/>
    </row>
    <row r="491" spans="2:2" ht="15.75" customHeight="1" x14ac:dyDescent="0.2">
      <c r="B491" s="14"/>
    </row>
    <row r="492" spans="2:2" ht="15.75" customHeight="1" x14ac:dyDescent="0.2">
      <c r="B492" s="14"/>
    </row>
    <row r="493" spans="2:2" ht="15.75" customHeight="1" x14ac:dyDescent="0.2">
      <c r="B493" s="14"/>
    </row>
    <row r="494" spans="2:2" ht="15.75" customHeight="1" x14ac:dyDescent="0.2">
      <c r="B494" s="14"/>
    </row>
    <row r="495" spans="2:2" ht="15.75" customHeight="1" x14ac:dyDescent="0.2">
      <c r="B495" s="14"/>
    </row>
    <row r="496" spans="2:2" ht="15.75" customHeight="1" x14ac:dyDescent="0.2">
      <c r="B496" s="14"/>
    </row>
    <row r="497" spans="2:2" ht="15.75" customHeight="1" x14ac:dyDescent="0.2">
      <c r="B497" s="14"/>
    </row>
    <row r="498" spans="2:2" ht="15.75" customHeight="1" x14ac:dyDescent="0.2">
      <c r="B498" s="14"/>
    </row>
    <row r="499" spans="2:2" ht="15.75" customHeight="1" x14ac:dyDescent="0.2">
      <c r="B499" s="14"/>
    </row>
    <row r="500" spans="2:2" ht="15.75" customHeight="1" x14ac:dyDescent="0.2">
      <c r="B500" s="14"/>
    </row>
    <row r="501" spans="2:2" ht="15.75" customHeight="1" x14ac:dyDescent="0.2">
      <c r="B501" s="14"/>
    </row>
    <row r="502" spans="2:2" ht="15.75" customHeight="1" x14ac:dyDescent="0.2">
      <c r="B502" s="14"/>
    </row>
    <row r="503" spans="2:2" ht="15.75" customHeight="1" x14ac:dyDescent="0.2">
      <c r="B503" s="14"/>
    </row>
    <row r="504" spans="2:2" ht="15.75" customHeight="1" x14ac:dyDescent="0.2">
      <c r="B504" s="14"/>
    </row>
    <row r="505" spans="2:2" ht="15.75" customHeight="1" x14ac:dyDescent="0.2">
      <c r="B505" s="14"/>
    </row>
    <row r="506" spans="2:2" ht="15.75" customHeight="1" x14ac:dyDescent="0.2">
      <c r="B506" s="14"/>
    </row>
    <row r="507" spans="2:2" ht="15.75" customHeight="1" x14ac:dyDescent="0.2">
      <c r="B507" s="14"/>
    </row>
    <row r="508" spans="2:2" ht="15.75" customHeight="1" x14ac:dyDescent="0.2">
      <c r="B508" s="14"/>
    </row>
    <row r="509" spans="2:2" ht="15.75" customHeight="1" x14ac:dyDescent="0.2">
      <c r="B509" s="14"/>
    </row>
    <row r="510" spans="2:2" ht="15.75" customHeight="1" x14ac:dyDescent="0.2">
      <c r="B510" s="14"/>
    </row>
    <row r="511" spans="2:2" ht="15.75" customHeight="1" x14ac:dyDescent="0.2">
      <c r="B511" s="14"/>
    </row>
    <row r="512" spans="2:2" ht="15.75" customHeight="1" x14ac:dyDescent="0.2">
      <c r="B512" s="14"/>
    </row>
    <row r="513" spans="2:2" ht="15.75" customHeight="1" x14ac:dyDescent="0.2">
      <c r="B513" s="14"/>
    </row>
    <row r="514" spans="2:2" ht="15.75" customHeight="1" x14ac:dyDescent="0.2">
      <c r="B514" s="14"/>
    </row>
    <row r="515" spans="2:2" ht="15.75" customHeight="1" x14ac:dyDescent="0.2">
      <c r="B515" s="14"/>
    </row>
    <row r="516" spans="2:2" ht="15.75" customHeight="1" x14ac:dyDescent="0.2">
      <c r="B516" s="14"/>
    </row>
    <row r="517" spans="2:2" ht="15.75" customHeight="1" x14ac:dyDescent="0.2">
      <c r="B517" s="14"/>
    </row>
    <row r="518" spans="2:2" ht="15.75" customHeight="1" x14ac:dyDescent="0.2">
      <c r="B518" s="14"/>
    </row>
    <row r="519" spans="2:2" ht="15.75" customHeight="1" x14ac:dyDescent="0.2">
      <c r="B519" s="14"/>
    </row>
    <row r="520" spans="2:2" ht="15.75" customHeight="1" x14ac:dyDescent="0.2">
      <c r="B520" s="14"/>
    </row>
    <row r="521" spans="2:2" ht="15.75" customHeight="1" x14ac:dyDescent="0.2">
      <c r="B521" s="14"/>
    </row>
    <row r="522" spans="2:2" ht="15.75" customHeight="1" x14ac:dyDescent="0.2">
      <c r="B522" s="14"/>
    </row>
    <row r="523" spans="2:2" ht="15.75" customHeight="1" x14ac:dyDescent="0.2">
      <c r="B523" s="14"/>
    </row>
    <row r="524" spans="2:2" ht="15.75" customHeight="1" x14ac:dyDescent="0.2">
      <c r="B524" s="14"/>
    </row>
    <row r="525" spans="2:2" ht="15.75" customHeight="1" x14ac:dyDescent="0.2">
      <c r="B525" s="14"/>
    </row>
    <row r="526" spans="2:2" ht="15.75" customHeight="1" x14ac:dyDescent="0.2">
      <c r="B526" s="14"/>
    </row>
    <row r="527" spans="2:2" ht="15.75" customHeight="1" x14ac:dyDescent="0.2">
      <c r="B527" s="14"/>
    </row>
    <row r="528" spans="2:2" ht="15.75" customHeight="1" x14ac:dyDescent="0.2">
      <c r="B528" s="14"/>
    </row>
    <row r="529" spans="2:2" ht="15.75" customHeight="1" x14ac:dyDescent="0.2">
      <c r="B529" s="14"/>
    </row>
    <row r="530" spans="2:2" ht="15.75" customHeight="1" x14ac:dyDescent="0.2">
      <c r="B530" s="14"/>
    </row>
    <row r="531" spans="2:2" ht="15.75" customHeight="1" x14ac:dyDescent="0.2">
      <c r="B531" s="14"/>
    </row>
    <row r="532" spans="2:2" ht="15.75" customHeight="1" x14ac:dyDescent="0.2">
      <c r="B532" s="14"/>
    </row>
    <row r="533" spans="2:2" ht="15.75" customHeight="1" x14ac:dyDescent="0.2">
      <c r="B533" s="14"/>
    </row>
    <row r="534" spans="2:2" ht="15.75" customHeight="1" x14ac:dyDescent="0.2">
      <c r="B534" s="14"/>
    </row>
    <row r="535" spans="2:2" ht="15.75" customHeight="1" x14ac:dyDescent="0.2">
      <c r="B535" s="14"/>
    </row>
    <row r="536" spans="2:2" ht="15.75" customHeight="1" x14ac:dyDescent="0.2">
      <c r="B536" s="14"/>
    </row>
    <row r="537" spans="2:2" ht="15.75" customHeight="1" x14ac:dyDescent="0.2">
      <c r="B537" s="14"/>
    </row>
    <row r="538" spans="2:2" ht="15.75" customHeight="1" x14ac:dyDescent="0.2">
      <c r="B538" s="14"/>
    </row>
    <row r="539" spans="2:2" ht="15.75" customHeight="1" x14ac:dyDescent="0.2">
      <c r="B539" s="14"/>
    </row>
    <row r="540" spans="2:2" ht="15.75" customHeight="1" x14ac:dyDescent="0.2">
      <c r="B540" s="14"/>
    </row>
    <row r="541" spans="2:2" ht="15.75" customHeight="1" x14ac:dyDescent="0.2">
      <c r="B541" s="14"/>
    </row>
    <row r="542" spans="2:2" ht="15.75" customHeight="1" x14ac:dyDescent="0.2">
      <c r="B542" s="14"/>
    </row>
    <row r="543" spans="2:2" ht="15.75" customHeight="1" x14ac:dyDescent="0.2">
      <c r="B543" s="14"/>
    </row>
    <row r="544" spans="2:2" ht="15.75" customHeight="1" x14ac:dyDescent="0.2">
      <c r="B544" s="14"/>
    </row>
    <row r="545" spans="2:2" ht="15.75" customHeight="1" x14ac:dyDescent="0.2">
      <c r="B545" s="14"/>
    </row>
    <row r="546" spans="2:2" ht="15.75" customHeight="1" x14ac:dyDescent="0.2">
      <c r="B546" s="14"/>
    </row>
    <row r="547" spans="2:2" ht="15.75" customHeight="1" x14ac:dyDescent="0.2">
      <c r="B547" s="14"/>
    </row>
    <row r="548" spans="2:2" ht="15.75" customHeight="1" x14ac:dyDescent="0.2">
      <c r="B548" s="14"/>
    </row>
    <row r="549" spans="2:2" ht="15.75" customHeight="1" x14ac:dyDescent="0.2">
      <c r="B549" s="14"/>
    </row>
    <row r="550" spans="2:2" ht="15.75" customHeight="1" x14ac:dyDescent="0.2">
      <c r="B550" s="14"/>
    </row>
    <row r="551" spans="2:2" ht="15.75" customHeight="1" x14ac:dyDescent="0.2">
      <c r="B551" s="14"/>
    </row>
    <row r="552" spans="2:2" ht="15.75" customHeight="1" x14ac:dyDescent="0.2">
      <c r="B552" s="14"/>
    </row>
    <row r="553" spans="2:2" ht="15.75" customHeight="1" x14ac:dyDescent="0.2">
      <c r="B553" s="14"/>
    </row>
    <row r="554" spans="2:2" ht="15.75" customHeight="1" x14ac:dyDescent="0.2">
      <c r="B554" s="14"/>
    </row>
    <row r="555" spans="2:2" ht="15.75" customHeight="1" x14ac:dyDescent="0.2">
      <c r="B555" s="14"/>
    </row>
    <row r="556" spans="2:2" ht="15.75" customHeight="1" x14ac:dyDescent="0.2">
      <c r="B556" s="14"/>
    </row>
    <row r="557" spans="2:2" ht="15.75" customHeight="1" x14ac:dyDescent="0.2">
      <c r="B557" s="14"/>
    </row>
    <row r="558" spans="2:2" ht="15.75" customHeight="1" x14ac:dyDescent="0.2">
      <c r="B558" s="14"/>
    </row>
    <row r="559" spans="2:2" ht="15.75" customHeight="1" x14ac:dyDescent="0.2">
      <c r="B559" s="14"/>
    </row>
    <row r="560" spans="2:2" ht="15.75" customHeight="1" x14ac:dyDescent="0.2">
      <c r="B560" s="14"/>
    </row>
    <row r="561" spans="2:2" ht="15.75" customHeight="1" x14ac:dyDescent="0.2">
      <c r="B561" s="14"/>
    </row>
    <row r="562" spans="2:2" ht="15.75" customHeight="1" x14ac:dyDescent="0.2">
      <c r="B562" s="14"/>
    </row>
    <row r="563" spans="2:2" ht="15.75" customHeight="1" x14ac:dyDescent="0.2">
      <c r="B563" s="14"/>
    </row>
    <row r="564" spans="2:2" ht="15.75" customHeight="1" x14ac:dyDescent="0.2">
      <c r="B564" s="14"/>
    </row>
    <row r="565" spans="2:2" ht="15.75" customHeight="1" x14ac:dyDescent="0.2">
      <c r="B565" s="14"/>
    </row>
    <row r="566" spans="2:2" ht="15.75" customHeight="1" x14ac:dyDescent="0.2">
      <c r="B566" s="14"/>
    </row>
    <row r="567" spans="2:2" ht="15.75" customHeight="1" x14ac:dyDescent="0.2">
      <c r="B567" s="14"/>
    </row>
    <row r="568" spans="2:2" ht="15.75" customHeight="1" x14ac:dyDescent="0.2">
      <c r="B568" s="14"/>
    </row>
    <row r="569" spans="2:2" ht="15.75" customHeight="1" x14ac:dyDescent="0.2">
      <c r="B569" s="14"/>
    </row>
    <row r="570" spans="2:2" ht="15.75" customHeight="1" x14ac:dyDescent="0.2">
      <c r="B570" s="14"/>
    </row>
    <row r="571" spans="2:2" ht="15.75" customHeight="1" x14ac:dyDescent="0.2">
      <c r="B571" s="14"/>
    </row>
    <row r="572" spans="2:2" ht="15.75" customHeight="1" x14ac:dyDescent="0.2">
      <c r="B572" s="14"/>
    </row>
    <row r="573" spans="2:2" ht="15.75" customHeight="1" x14ac:dyDescent="0.2">
      <c r="B573" s="14"/>
    </row>
    <row r="574" spans="2:2" ht="15.75" customHeight="1" x14ac:dyDescent="0.2">
      <c r="B574" s="14"/>
    </row>
    <row r="575" spans="2:2" ht="15.75" customHeight="1" x14ac:dyDescent="0.2">
      <c r="B575" s="14"/>
    </row>
    <row r="576" spans="2:2" ht="15.75" customHeight="1" x14ac:dyDescent="0.2">
      <c r="B576" s="14"/>
    </row>
    <row r="577" spans="2:2" ht="15.75" customHeight="1" x14ac:dyDescent="0.2">
      <c r="B577" s="14"/>
    </row>
    <row r="578" spans="2:2" ht="15.75" customHeight="1" x14ac:dyDescent="0.2">
      <c r="B578" s="14"/>
    </row>
    <row r="579" spans="2:2" ht="15.75" customHeight="1" x14ac:dyDescent="0.2">
      <c r="B579" s="14"/>
    </row>
    <row r="580" spans="2:2" ht="15.75" customHeight="1" x14ac:dyDescent="0.2">
      <c r="B580" s="14"/>
    </row>
    <row r="581" spans="2:2" ht="15.75" customHeight="1" x14ac:dyDescent="0.2">
      <c r="B581" s="14"/>
    </row>
    <row r="582" spans="2:2" ht="15.75" customHeight="1" x14ac:dyDescent="0.2">
      <c r="B582" s="14"/>
    </row>
    <row r="583" spans="2:2" ht="15.75" customHeight="1" x14ac:dyDescent="0.2">
      <c r="B583" s="14"/>
    </row>
    <row r="584" spans="2:2" ht="15.75" customHeight="1" x14ac:dyDescent="0.2">
      <c r="B584" s="14"/>
    </row>
    <row r="585" spans="2:2" ht="15.75" customHeight="1" x14ac:dyDescent="0.2">
      <c r="B585" s="14"/>
    </row>
    <row r="586" spans="2:2" ht="15.75" customHeight="1" x14ac:dyDescent="0.2">
      <c r="B586" s="14"/>
    </row>
    <row r="587" spans="2:2" ht="15.75" customHeight="1" x14ac:dyDescent="0.2">
      <c r="B587" s="14"/>
    </row>
    <row r="588" spans="2:2" ht="15.75" customHeight="1" x14ac:dyDescent="0.2">
      <c r="B588" s="14"/>
    </row>
    <row r="589" spans="2:2" ht="15.75" customHeight="1" x14ac:dyDescent="0.2">
      <c r="B589" s="14"/>
    </row>
    <row r="590" spans="2:2" ht="15.75" customHeight="1" x14ac:dyDescent="0.2">
      <c r="B590" s="14"/>
    </row>
    <row r="591" spans="2:2" ht="15.75" customHeight="1" x14ac:dyDescent="0.2">
      <c r="B591" s="14"/>
    </row>
    <row r="592" spans="2:2" ht="15.75" customHeight="1" x14ac:dyDescent="0.2">
      <c r="B592" s="14"/>
    </row>
    <row r="593" spans="2:2" ht="15.75" customHeight="1" x14ac:dyDescent="0.2">
      <c r="B593" s="14"/>
    </row>
    <row r="594" spans="2:2" ht="15.75" customHeight="1" x14ac:dyDescent="0.2">
      <c r="B594" s="14"/>
    </row>
    <row r="595" spans="2:2" ht="15.75" customHeight="1" x14ac:dyDescent="0.2">
      <c r="B595" s="14"/>
    </row>
    <row r="596" spans="2:2" ht="15.75" customHeight="1" x14ac:dyDescent="0.2">
      <c r="B596" s="14"/>
    </row>
    <row r="597" spans="2:2" ht="15.75" customHeight="1" x14ac:dyDescent="0.2">
      <c r="B597" s="14"/>
    </row>
    <row r="598" spans="2:2" ht="15.75" customHeight="1" x14ac:dyDescent="0.2">
      <c r="B598" s="14"/>
    </row>
    <row r="599" spans="2:2" ht="15.75" customHeight="1" x14ac:dyDescent="0.2">
      <c r="B599" s="14"/>
    </row>
    <row r="600" spans="2:2" ht="15.75" customHeight="1" x14ac:dyDescent="0.2">
      <c r="B600" s="14"/>
    </row>
    <row r="601" spans="2:2" ht="15.75" customHeight="1" x14ac:dyDescent="0.2">
      <c r="B601" s="14"/>
    </row>
    <row r="602" spans="2:2" ht="15.75" customHeight="1" x14ac:dyDescent="0.2">
      <c r="B602" s="14"/>
    </row>
    <row r="603" spans="2:2" ht="15.75" customHeight="1" x14ac:dyDescent="0.2">
      <c r="B603" s="14"/>
    </row>
    <row r="604" spans="2:2" ht="15.75" customHeight="1" x14ac:dyDescent="0.2">
      <c r="B604" s="14"/>
    </row>
    <row r="605" spans="2:2" ht="15.75" customHeight="1" x14ac:dyDescent="0.2">
      <c r="B605" s="14"/>
    </row>
    <row r="606" spans="2:2" ht="15.75" customHeight="1" x14ac:dyDescent="0.2">
      <c r="B606" s="14"/>
    </row>
    <row r="607" spans="2:2" ht="15.75" customHeight="1" x14ac:dyDescent="0.2">
      <c r="B607" s="14"/>
    </row>
    <row r="608" spans="2:2" ht="15.75" customHeight="1" x14ac:dyDescent="0.2">
      <c r="B608" s="14"/>
    </row>
    <row r="609" spans="2:2" ht="15.75" customHeight="1" x14ac:dyDescent="0.2">
      <c r="B609" s="14"/>
    </row>
    <row r="610" spans="2:2" ht="15.75" customHeight="1" x14ac:dyDescent="0.2">
      <c r="B610" s="14"/>
    </row>
    <row r="611" spans="2:2" ht="15.75" customHeight="1" x14ac:dyDescent="0.2">
      <c r="B611" s="14"/>
    </row>
    <row r="612" spans="2:2" ht="15.75" customHeight="1" x14ac:dyDescent="0.2">
      <c r="B612" s="14"/>
    </row>
    <row r="613" spans="2:2" ht="15.75" customHeight="1" x14ac:dyDescent="0.2">
      <c r="B613" s="14"/>
    </row>
    <row r="614" spans="2:2" ht="15.75" customHeight="1" x14ac:dyDescent="0.2">
      <c r="B614" s="14"/>
    </row>
    <row r="615" spans="2:2" ht="15.75" customHeight="1" x14ac:dyDescent="0.2">
      <c r="B615" s="14"/>
    </row>
    <row r="616" spans="2:2" ht="15.75" customHeight="1" x14ac:dyDescent="0.2">
      <c r="B616" s="14"/>
    </row>
    <row r="617" spans="2:2" ht="15.75" customHeight="1" x14ac:dyDescent="0.2">
      <c r="B617" s="14"/>
    </row>
    <row r="618" spans="2:2" ht="15.75" customHeight="1" x14ac:dyDescent="0.2">
      <c r="B618" s="14"/>
    </row>
    <row r="619" spans="2:2" ht="15.75" customHeight="1" x14ac:dyDescent="0.2">
      <c r="B619" s="14"/>
    </row>
    <row r="620" spans="2:2" ht="15.75" customHeight="1" x14ac:dyDescent="0.2">
      <c r="B620" s="14"/>
    </row>
    <row r="621" spans="2:2" ht="15.75" customHeight="1" x14ac:dyDescent="0.2">
      <c r="B621" s="14"/>
    </row>
    <row r="622" spans="2:2" ht="15.75" customHeight="1" x14ac:dyDescent="0.2">
      <c r="B622" s="14"/>
    </row>
    <row r="623" spans="2:2" ht="15.75" customHeight="1" x14ac:dyDescent="0.2">
      <c r="B623" s="14"/>
    </row>
    <row r="624" spans="2:2" ht="15.75" customHeight="1" x14ac:dyDescent="0.2">
      <c r="B624" s="14"/>
    </row>
    <row r="625" spans="2:2" ht="15.75" customHeight="1" x14ac:dyDescent="0.2">
      <c r="B625" s="14"/>
    </row>
    <row r="626" spans="2:2" ht="15.75" customHeight="1" x14ac:dyDescent="0.2">
      <c r="B626" s="14"/>
    </row>
    <row r="627" spans="2:2" ht="15.75" customHeight="1" x14ac:dyDescent="0.2">
      <c r="B627" s="14"/>
    </row>
    <row r="628" spans="2:2" ht="15.75" customHeight="1" x14ac:dyDescent="0.2">
      <c r="B628" s="14"/>
    </row>
    <row r="629" spans="2:2" ht="15.75" customHeight="1" x14ac:dyDescent="0.2">
      <c r="B629" s="14"/>
    </row>
    <row r="630" spans="2:2" ht="15.75" customHeight="1" x14ac:dyDescent="0.2">
      <c r="B630" s="14"/>
    </row>
    <row r="631" spans="2:2" ht="15.75" customHeight="1" x14ac:dyDescent="0.2">
      <c r="B631" s="14"/>
    </row>
    <row r="632" spans="2:2" ht="15.75" customHeight="1" x14ac:dyDescent="0.2">
      <c r="B632" s="14"/>
    </row>
    <row r="633" spans="2:2" ht="15.75" customHeight="1" x14ac:dyDescent="0.2">
      <c r="B633" s="14"/>
    </row>
    <row r="634" spans="2:2" ht="15.75" customHeight="1" x14ac:dyDescent="0.2">
      <c r="B634" s="14"/>
    </row>
    <row r="635" spans="2:2" ht="15.75" customHeight="1" x14ac:dyDescent="0.2">
      <c r="B635" s="14"/>
    </row>
    <row r="636" spans="2:2" ht="15.75" customHeight="1" x14ac:dyDescent="0.2">
      <c r="B636" s="14"/>
    </row>
    <row r="637" spans="2:2" ht="15.75" customHeight="1" x14ac:dyDescent="0.2">
      <c r="B637" s="14"/>
    </row>
    <row r="638" spans="2:2" ht="15.75" customHeight="1" x14ac:dyDescent="0.2">
      <c r="B638" s="14"/>
    </row>
    <row r="639" spans="2:2" ht="15.75" customHeight="1" x14ac:dyDescent="0.2">
      <c r="B639" s="14"/>
    </row>
    <row r="640" spans="2:2" ht="15.75" customHeight="1" x14ac:dyDescent="0.2">
      <c r="B640" s="14"/>
    </row>
    <row r="641" spans="2:2" ht="15.75" customHeight="1" x14ac:dyDescent="0.2">
      <c r="B641" s="14"/>
    </row>
    <row r="642" spans="2:2" ht="15.75" customHeight="1" x14ac:dyDescent="0.2">
      <c r="B642" s="14"/>
    </row>
    <row r="643" spans="2:2" ht="15.75" customHeight="1" x14ac:dyDescent="0.2">
      <c r="B643" s="14"/>
    </row>
    <row r="644" spans="2:2" ht="15.75" customHeight="1" x14ac:dyDescent="0.2">
      <c r="B644" s="14"/>
    </row>
    <row r="645" spans="2:2" ht="15.75" customHeight="1" x14ac:dyDescent="0.2">
      <c r="B645" s="14"/>
    </row>
    <row r="646" spans="2:2" ht="15.75" customHeight="1" x14ac:dyDescent="0.2">
      <c r="B646" s="14"/>
    </row>
    <row r="647" spans="2:2" ht="15.75" customHeight="1" x14ac:dyDescent="0.2">
      <c r="B647" s="14"/>
    </row>
    <row r="648" spans="2:2" ht="15.75" customHeight="1" x14ac:dyDescent="0.2">
      <c r="B648" s="14"/>
    </row>
    <row r="649" spans="2:2" ht="15.75" customHeight="1" x14ac:dyDescent="0.2">
      <c r="B649" s="14"/>
    </row>
    <row r="650" spans="2:2" ht="15.75" customHeight="1" x14ac:dyDescent="0.2">
      <c r="B650" s="14"/>
    </row>
    <row r="651" spans="2:2" ht="15.75" customHeight="1" x14ac:dyDescent="0.2">
      <c r="B651" s="14"/>
    </row>
    <row r="652" spans="2:2" ht="15.75" customHeight="1" x14ac:dyDescent="0.2">
      <c r="B652" s="14"/>
    </row>
    <row r="653" spans="2:2" ht="15.75" customHeight="1" x14ac:dyDescent="0.2">
      <c r="B653" s="14"/>
    </row>
    <row r="654" spans="2:2" ht="15.75" customHeight="1" x14ac:dyDescent="0.2">
      <c r="B654" s="14"/>
    </row>
    <row r="655" spans="2:2" ht="15.75" customHeight="1" x14ac:dyDescent="0.2">
      <c r="B655" s="14"/>
    </row>
    <row r="656" spans="2:2" ht="15.75" customHeight="1" x14ac:dyDescent="0.2">
      <c r="B656" s="14"/>
    </row>
    <row r="657" spans="2:2" ht="15.75" customHeight="1" x14ac:dyDescent="0.2">
      <c r="B657" s="14"/>
    </row>
    <row r="658" spans="2:2" ht="15.75" customHeight="1" x14ac:dyDescent="0.2">
      <c r="B658" s="14"/>
    </row>
    <row r="659" spans="2:2" ht="15.75" customHeight="1" x14ac:dyDescent="0.2">
      <c r="B659" s="14"/>
    </row>
    <row r="660" spans="2:2" ht="15.75" customHeight="1" x14ac:dyDescent="0.2">
      <c r="B660" s="14"/>
    </row>
    <row r="661" spans="2:2" ht="15.75" customHeight="1" x14ac:dyDescent="0.2">
      <c r="B661" s="14"/>
    </row>
    <row r="662" spans="2:2" ht="15.75" customHeight="1" x14ac:dyDescent="0.2">
      <c r="B662" s="14"/>
    </row>
    <row r="663" spans="2:2" ht="15.75" customHeight="1" x14ac:dyDescent="0.2">
      <c r="B663" s="14"/>
    </row>
    <row r="664" spans="2:2" ht="15.75" customHeight="1" x14ac:dyDescent="0.2">
      <c r="B664" s="14"/>
    </row>
    <row r="665" spans="2:2" ht="15.75" customHeight="1" x14ac:dyDescent="0.2">
      <c r="B665" s="14"/>
    </row>
    <row r="666" spans="2:2" ht="15.75" customHeight="1" x14ac:dyDescent="0.2">
      <c r="B666" s="14"/>
    </row>
    <row r="667" spans="2:2" ht="15.75" customHeight="1" x14ac:dyDescent="0.2">
      <c r="B667" s="14"/>
    </row>
    <row r="668" spans="2:2" ht="15.75" customHeight="1" x14ac:dyDescent="0.2">
      <c r="B668" s="14"/>
    </row>
    <row r="669" spans="2:2" ht="15.75" customHeight="1" x14ac:dyDescent="0.2">
      <c r="B669" s="14"/>
    </row>
    <row r="670" spans="2:2" ht="15.75" customHeight="1" x14ac:dyDescent="0.2">
      <c r="B670" s="14"/>
    </row>
    <row r="671" spans="2:2" ht="15.75" customHeight="1" x14ac:dyDescent="0.2">
      <c r="B671" s="14"/>
    </row>
    <row r="672" spans="2:2" ht="15.75" customHeight="1" x14ac:dyDescent="0.2">
      <c r="B672" s="14"/>
    </row>
    <row r="673" spans="2:2" ht="15.75" customHeight="1" x14ac:dyDescent="0.2">
      <c r="B673" s="14"/>
    </row>
    <row r="674" spans="2:2" ht="15.75" customHeight="1" x14ac:dyDescent="0.2">
      <c r="B674" s="14"/>
    </row>
    <row r="675" spans="2:2" ht="15.75" customHeight="1" x14ac:dyDescent="0.2">
      <c r="B675" s="14"/>
    </row>
    <row r="676" spans="2:2" ht="15.75" customHeight="1" x14ac:dyDescent="0.2">
      <c r="B676" s="14"/>
    </row>
    <row r="677" spans="2:2" ht="15.75" customHeight="1" x14ac:dyDescent="0.2">
      <c r="B677" s="14"/>
    </row>
    <row r="678" spans="2:2" ht="15.75" customHeight="1" x14ac:dyDescent="0.2">
      <c r="B678" s="14"/>
    </row>
    <row r="679" spans="2:2" ht="15.75" customHeight="1" x14ac:dyDescent="0.2">
      <c r="B679" s="14"/>
    </row>
    <row r="680" spans="2:2" ht="15.75" customHeight="1" x14ac:dyDescent="0.2">
      <c r="B680" s="14"/>
    </row>
    <row r="681" spans="2:2" ht="15.75" customHeight="1" x14ac:dyDescent="0.2">
      <c r="B681" s="14"/>
    </row>
    <row r="682" spans="2:2" ht="15.75" customHeight="1" x14ac:dyDescent="0.2">
      <c r="B682" s="14"/>
    </row>
    <row r="683" spans="2:2" ht="15.75" customHeight="1" x14ac:dyDescent="0.2">
      <c r="B683" s="14"/>
    </row>
    <row r="684" spans="2:2" ht="15.75" customHeight="1" x14ac:dyDescent="0.2">
      <c r="B684" s="14"/>
    </row>
    <row r="685" spans="2:2" ht="15.75" customHeight="1" x14ac:dyDescent="0.2">
      <c r="B685" s="14"/>
    </row>
    <row r="686" spans="2:2" ht="15.75" customHeight="1" x14ac:dyDescent="0.2">
      <c r="B686" s="14"/>
    </row>
    <row r="687" spans="2:2" ht="15.75" customHeight="1" x14ac:dyDescent="0.2">
      <c r="B687" s="14"/>
    </row>
    <row r="688" spans="2:2" ht="15.75" customHeight="1" x14ac:dyDescent="0.2">
      <c r="B688" s="14"/>
    </row>
    <row r="689" spans="2:2" ht="15.75" customHeight="1" x14ac:dyDescent="0.2">
      <c r="B689" s="14"/>
    </row>
    <row r="690" spans="2:2" ht="15.75" customHeight="1" x14ac:dyDescent="0.2">
      <c r="B690" s="14"/>
    </row>
    <row r="691" spans="2:2" ht="15.75" customHeight="1" x14ac:dyDescent="0.2">
      <c r="B691" s="14"/>
    </row>
    <row r="692" spans="2:2" ht="15.75" customHeight="1" x14ac:dyDescent="0.2">
      <c r="B692" s="14"/>
    </row>
    <row r="693" spans="2:2" ht="15.75" customHeight="1" x14ac:dyDescent="0.2">
      <c r="B693" s="14"/>
    </row>
    <row r="694" spans="2:2" ht="15.75" customHeight="1" x14ac:dyDescent="0.2">
      <c r="B694" s="14"/>
    </row>
    <row r="695" spans="2:2" ht="15.75" customHeight="1" x14ac:dyDescent="0.2">
      <c r="B695" s="14"/>
    </row>
    <row r="696" spans="2:2" ht="15.75" customHeight="1" x14ac:dyDescent="0.2">
      <c r="B696" s="14"/>
    </row>
    <row r="697" spans="2:2" ht="15.75" customHeight="1" x14ac:dyDescent="0.2">
      <c r="B697" s="14"/>
    </row>
    <row r="698" spans="2:2" ht="15.75" customHeight="1" x14ac:dyDescent="0.2">
      <c r="B698" s="14"/>
    </row>
    <row r="699" spans="2:2" ht="15.75" customHeight="1" x14ac:dyDescent="0.2">
      <c r="B699" s="14"/>
    </row>
    <row r="700" spans="2:2" ht="15.75" customHeight="1" x14ac:dyDescent="0.2">
      <c r="B700" s="14"/>
    </row>
    <row r="701" spans="2:2" ht="15.75" customHeight="1" x14ac:dyDescent="0.2">
      <c r="B701" s="14"/>
    </row>
    <row r="702" spans="2:2" ht="15.75" customHeight="1" x14ac:dyDescent="0.2">
      <c r="B702" s="14"/>
    </row>
    <row r="703" spans="2:2" ht="15.75" customHeight="1" x14ac:dyDescent="0.2">
      <c r="B703" s="14"/>
    </row>
    <row r="704" spans="2:2" ht="15.75" customHeight="1" x14ac:dyDescent="0.2">
      <c r="B704" s="14"/>
    </row>
    <row r="705" spans="2:2" ht="15.75" customHeight="1" x14ac:dyDescent="0.2">
      <c r="B705" s="14"/>
    </row>
    <row r="706" spans="2:2" ht="15.75" customHeight="1" x14ac:dyDescent="0.2">
      <c r="B706" s="14"/>
    </row>
    <row r="707" spans="2:2" ht="15.75" customHeight="1" x14ac:dyDescent="0.2">
      <c r="B707" s="14"/>
    </row>
    <row r="708" spans="2:2" ht="15.75" customHeight="1" x14ac:dyDescent="0.2">
      <c r="B708" s="14"/>
    </row>
    <row r="709" spans="2:2" ht="15.75" customHeight="1" x14ac:dyDescent="0.2">
      <c r="B709" s="14"/>
    </row>
    <row r="710" spans="2:2" ht="15.75" customHeight="1" x14ac:dyDescent="0.2">
      <c r="B710" s="14"/>
    </row>
    <row r="711" spans="2:2" ht="15.75" customHeight="1" x14ac:dyDescent="0.2">
      <c r="B711" s="14"/>
    </row>
    <row r="712" spans="2:2" ht="15.75" customHeight="1" x14ac:dyDescent="0.2">
      <c r="B712" s="14"/>
    </row>
    <row r="713" spans="2:2" ht="15.75" customHeight="1" x14ac:dyDescent="0.2">
      <c r="B713" s="14"/>
    </row>
    <row r="714" spans="2:2" ht="15.75" customHeight="1" x14ac:dyDescent="0.2">
      <c r="B714" s="14"/>
    </row>
    <row r="715" spans="2:2" ht="15.75" customHeight="1" x14ac:dyDescent="0.2">
      <c r="B715" s="14"/>
    </row>
    <row r="716" spans="2:2" ht="15.75" customHeight="1" x14ac:dyDescent="0.2">
      <c r="B716" s="14"/>
    </row>
    <row r="717" spans="2:2" ht="15.75" customHeight="1" x14ac:dyDescent="0.2">
      <c r="B717" s="14"/>
    </row>
    <row r="718" spans="2:2" ht="15.75" customHeight="1" x14ac:dyDescent="0.2">
      <c r="B718" s="14"/>
    </row>
    <row r="719" spans="2:2" ht="15.75" customHeight="1" x14ac:dyDescent="0.2">
      <c r="B719" s="14"/>
    </row>
    <row r="720" spans="2:2" ht="15.75" customHeight="1" x14ac:dyDescent="0.2">
      <c r="B720" s="14"/>
    </row>
    <row r="721" spans="2:2" ht="15.75" customHeight="1" x14ac:dyDescent="0.2">
      <c r="B721" s="14"/>
    </row>
    <row r="722" spans="2:2" ht="15.75" customHeight="1" x14ac:dyDescent="0.2">
      <c r="B722" s="14"/>
    </row>
    <row r="723" spans="2:2" ht="15.75" customHeight="1" x14ac:dyDescent="0.2">
      <c r="B723" s="14"/>
    </row>
    <row r="724" spans="2:2" ht="15.75" customHeight="1" x14ac:dyDescent="0.2">
      <c r="B724" s="14"/>
    </row>
    <row r="725" spans="2:2" ht="15.75" customHeight="1" x14ac:dyDescent="0.2">
      <c r="B725" s="14"/>
    </row>
    <row r="726" spans="2:2" ht="15.75" customHeight="1" x14ac:dyDescent="0.2">
      <c r="B726" s="14"/>
    </row>
    <row r="727" spans="2:2" ht="15.75" customHeight="1" x14ac:dyDescent="0.2">
      <c r="B727" s="14"/>
    </row>
    <row r="728" spans="2:2" ht="15.75" customHeight="1" x14ac:dyDescent="0.2">
      <c r="B728" s="14"/>
    </row>
    <row r="729" spans="2:2" ht="15.75" customHeight="1" x14ac:dyDescent="0.2">
      <c r="B729" s="14"/>
    </row>
    <row r="730" spans="2:2" ht="15.75" customHeight="1" x14ac:dyDescent="0.2">
      <c r="B730" s="14"/>
    </row>
    <row r="731" spans="2:2" ht="15.75" customHeight="1" x14ac:dyDescent="0.2">
      <c r="B731" s="14"/>
    </row>
    <row r="732" spans="2:2" ht="15.75" customHeight="1" x14ac:dyDescent="0.2">
      <c r="B732" s="14"/>
    </row>
    <row r="733" spans="2:2" ht="15.75" customHeight="1" x14ac:dyDescent="0.2">
      <c r="B733" s="14"/>
    </row>
    <row r="734" spans="2:2" ht="15.75" customHeight="1" x14ac:dyDescent="0.2">
      <c r="B734" s="14"/>
    </row>
    <row r="735" spans="2:2" ht="15.75" customHeight="1" x14ac:dyDescent="0.2">
      <c r="B735" s="14"/>
    </row>
    <row r="736" spans="2:2" ht="15.75" customHeight="1" x14ac:dyDescent="0.2">
      <c r="B736" s="14"/>
    </row>
    <row r="737" spans="2:2" ht="15.75" customHeight="1" x14ac:dyDescent="0.2">
      <c r="B737" s="14"/>
    </row>
    <row r="738" spans="2:2" ht="15.75" customHeight="1" x14ac:dyDescent="0.2">
      <c r="B738" s="14"/>
    </row>
    <row r="739" spans="2:2" ht="15.75" customHeight="1" x14ac:dyDescent="0.2">
      <c r="B739" s="14"/>
    </row>
    <row r="740" spans="2:2" ht="15.75" customHeight="1" x14ac:dyDescent="0.2">
      <c r="B740" s="14"/>
    </row>
    <row r="741" spans="2:2" ht="15.75" customHeight="1" x14ac:dyDescent="0.2">
      <c r="B741" s="14"/>
    </row>
    <row r="742" spans="2:2" ht="15.75" customHeight="1" x14ac:dyDescent="0.2">
      <c r="B742" s="14"/>
    </row>
    <row r="743" spans="2:2" ht="15.75" customHeight="1" x14ac:dyDescent="0.2">
      <c r="B743" s="14"/>
    </row>
    <row r="744" spans="2:2" ht="15.75" customHeight="1" x14ac:dyDescent="0.2">
      <c r="B744" s="14"/>
    </row>
    <row r="745" spans="2:2" ht="15.75" customHeight="1" x14ac:dyDescent="0.2">
      <c r="B745" s="14"/>
    </row>
    <row r="746" spans="2:2" ht="15.75" customHeight="1" x14ac:dyDescent="0.2">
      <c r="B746" s="14"/>
    </row>
    <row r="747" spans="2:2" ht="15.75" customHeight="1" x14ac:dyDescent="0.2">
      <c r="B747" s="14"/>
    </row>
    <row r="748" spans="2:2" ht="15.75" customHeight="1" x14ac:dyDescent="0.2">
      <c r="B748" s="14"/>
    </row>
    <row r="749" spans="2:2" ht="15.75" customHeight="1" x14ac:dyDescent="0.2">
      <c r="B749" s="14"/>
    </row>
    <row r="750" spans="2:2" ht="15.75" customHeight="1" x14ac:dyDescent="0.2">
      <c r="B750" s="14"/>
    </row>
    <row r="751" spans="2:2" ht="15.75" customHeight="1" x14ac:dyDescent="0.2">
      <c r="B751" s="14"/>
    </row>
    <row r="752" spans="2:2" ht="15.75" customHeight="1" x14ac:dyDescent="0.2">
      <c r="B752" s="14"/>
    </row>
    <row r="753" spans="2:2" ht="15.75" customHeight="1" x14ac:dyDescent="0.2">
      <c r="B753" s="14"/>
    </row>
    <row r="754" spans="2:2" ht="15.75" customHeight="1" x14ac:dyDescent="0.2">
      <c r="B754" s="14"/>
    </row>
    <row r="755" spans="2:2" ht="15.75" customHeight="1" x14ac:dyDescent="0.2">
      <c r="B755" s="14"/>
    </row>
    <row r="756" spans="2:2" ht="15.75" customHeight="1" x14ac:dyDescent="0.2">
      <c r="B756" s="14"/>
    </row>
    <row r="757" spans="2:2" ht="15.75" customHeight="1" x14ac:dyDescent="0.2">
      <c r="B757" s="14"/>
    </row>
    <row r="758" spans="2:2" ht="15.75" customHeight="1" x14ac:dyDescent="0.2">
      <c r="B758" s="14"/>
    </row>
    <row r="759" spans="2:2" ht="15.75" customHeight="1" x14ac:dyDescent="0.2">
      <c r="B759" s="14"/>
    </row>
    <row r="760" spans="2:2" ht="15.75" customHeight="1" x14ac:dyDescent="0.2">
      <c r="B760" s="14"/>
    </row>
    <row r="761" spans="2:2" ht="15.75" customHeight="1" x14ac:dyDescent="0.2">
      <c r="B761" s="14"/>
    </row>
    <row r="762" spans="2:2" ht="15.75" customHeight="1" x14ac:dyDescent="0.2">
      <c r="B762" s="14"/>
    </row>
    <row r="763" spans="2:2" ht="15.75" customHeight="1" x14ac:dyDescent="0.2">
      <c r="B763" s="14"/>
    </row>
    <row r="764" spans="2:2" ht="15.75" customHeight="1" x14ac:dyDescent="0.2">
      <c r="B764" s="14"/>
    </row>
    <row r="765" spans="2:2" ht="15.75" customHeight="1" x14ac:dyDescent="0.2">
      <c r="B765" s="14"/>
    </row>
    <row r="766" spans="2:2" ht="15.75" customHeight="1" x14ac:dyDescent="0.2">
      <c r="B766" s="14"/>
    </row>
    <row r="767" spans="2:2" ht="15.75" customHeight="1" x14ac:dyDescent="0.2">
      <c r="B767" s="14"/>
    </row>
    <row r="768" spans="2:2" ht="15.75" customHeight="1" x14ac:dyDescent="0.2">
      <c r="B768" s="14"/>
    </row>
    <row r="769" spans="2:2" ht="15.75" customHeight="1" x14ac:dyDescent="0.2">
      <c r="B769" s="14"/>
    </row>
    <row r="770" spans="2:2" ht="15.75" customHeight="1" x14ac:dyDescent="0.2">
      <c r="B770" s="14"/>
    </row>
    <row r="771" spans="2:2" ht="15.75" customHeight="1" x14ac:dyDescent="0.2">
      <c r="B771" s="14"/>
    </row>
    <row r="772" spans="2:2" ht="15.75" customHeight="1" x14ac:dyDescent="0.2">
      <c r="B772" s="14"/>
    </row>
    <row r="773" spans="2:2" ht="15.75" customHeight="1" x14ac:dyDescent="0.2">
      <c r="B773" s="14"/>
    </row>
    <row r="774" spans="2:2" ht="15.75" customHeight="1" x14ac:dyDescent="0.2">
      <c r="B774" s="14"/>
    </row>
    <row r="775" spans="2:2" ht="15.75" customHeight="1" x14ac:dyDescent="0.2">
      <c r="B775" s="14"/>
    </row>
    <row r="776" spans="2:2" ht="15.75" customHeight="1" x14ac:dyDescent="0.2">
      <c r="B776" s="14"/>
    </row>
    <row r="777" spans="2:2" ht="15.75" customHeight="1" x14ac:dyDescent="0.2">
      <c r="B777" s="14"/>
    </row>
    <row r="778" spans="2:2" ht="15.75" customHeight="1" x14ac:dyDescent="0.2">
      <c r="B778" s="14"/>
    </row>
    <row r="779" spans="2:2" ht="15.75" customHeight="1" x14ac:dyDescent="0.2">
      <c r="B779" s="14"/>
    </row>
    <row r="780" spans="2:2" ht="15.75" customHeight="1" x14ac:dyDescent="0.2">
      <c r="B780" s="14"/>
    </row>
    <row r="781" spans="2:2" ht="15.75" customHeight="1" x14ac:dyDescent="0.2">
      <c r="B781" s="14"/>
    </row>
    <row r="782" spans="2:2" ht="15.75" customHeight="1" x14ac:dyDescent="0.2">
      <c r="B782" s="14"/>
    </row>
    <row r="783" spans="2:2" ht="15.75" customHeight="1" x14ac:dyDescent="0.2">
      <c r="B783" s="14"/>
    </row>
    <row r="784" spans="2:2" ht="15.75" customHeight="1" x14ac:dyDescent="0.2">
      <c r="B784" s="14"/>
    </row>
    <row r="785" spans="2:2" ht="15.75" customHeight="1" x14ac:dyDescent="0.2">
      <c r="B785" s="14"/>
    </row>
    <row r="786" spans="2:2" ht="15.75" customHeight="1" x14ac:dyDescent="0.2">
      <c r="B786" s="14"/>
    </row>
    <row r="787" spans="2:2" ht="15.75" customHeight="1" x14ac:dyDescent="0.2">
      <c r="B787" s="14"/>
    </row>
    <row r="788" spans="2:2" ht="15.75" customHeight="1" x14ac:dyDescent="0.2">
      <c r="B788" s="14"/>
    </row>
    <row r="789" spans="2:2" ht="15.75" customHeight="1" x14ac:dyDescent="0.2">
      <c r="B789" s="14"/>
    </row>
    <row r="790" spans="2:2" ht="15.75" customHeight="1" x14ac:dyDescent="0.2">
      <c r="B790" s="14"/>
    </row>
    <row r="791" spans="2:2" ht="15.75" customHeight="1" x14ac:dyDescent="0.2">
      <c r="B791" s="14"/>
    </row>
    <row r="792" spans="2:2" ht="15.75" customHeight="1" x14ac:dyDescent="0.2">
      <c r="B792" s="14"/>
    </row>
    <row r="793" spans="2:2" ht="15.75" customHeight="1" x14ac:dyDescent="0.2">
      <c r="B793" s="14"/>
    </row>
    <row r="794" spans="2:2" ht="15.75" customHeight="1" x14ac:dyDescent="0.2">
      <c r="B794" s="14"/>
    </row>
    <row r="795" spans="2:2" ht="15.75" customHeight="1" x14ac:dyDescent="0.2">
      <c r="B795" s="14"/>
    </row>
    <row r="796" spans="2:2" ht="15.75" customHeight="1" x14ac:dyDescent="0.2">
      <c r="B796" s="14"/>
    </row>
    <row r="797" spans="2:2" ht="15.75" customHeight="1" x14ac:dyDescent="0.2">
      <c r="B797" s="14"/>
    </row>
    <row r="798" spans="2:2" ht="15.75" customHeight="1" x14ac:dyDescent="0.2">
      <c r="B798" s="14"/>
    </row>
    <row r="799" spans="2:2" ht="15.75" customHeight="1" x14ac:dyDescent="0.2">
      <c r="B799" s="14"/>
    </row>
    <row r="800" spans="2:2" ht="15.75" customHeight="1" x14ac:dyDescent="0.2">
      <c r="B800" s="14"/>
    </row>
    <row r="801" spans="2:2" ht="15.75" customHeight="1" x14ac:dyDescent="0.2">
      <c r="B801" s="14"/>
    </row>
    <row r="802" spans="2:2" ht="15.75" customHeight="1" x14ac:dyDescent="0.2">
      <c r="B802" s="14"/>
    </row>
    <row r="803" spans="2:2" ht="15.75" customHeight="1" x14ac:dyDescent="0.2">
      <c r="B803" s="14"/>
    </row>
    <row r="804" spans="2:2" ht="15.75" customHeight="1" x14ac:dyDescent="0.2">
      <c r="B804" s="14"/>
    </row>
    <row r="805" spans="2:2" ht="15.75" customHeight="1" x14ac:dyDescent="0.2">
      <c r="B805" s="14"/>
    </row>
    <row r="806" spans="2:2" ht="15.75" customHeight="1" x14ac:dyDescent="0.2">
      <c r="B806" s="14"/>
    </row>
    <row r="807" spans="2:2" ht="15.75" customHeight="1" x14ac:dyDescent="0.2">
      <c r="B807" s="14"/>
    </row>
    <row r="808" spans="2:2" ht="15.75" customHeight="1" x14ac:dyDescent="0.2">
      <c r="B808" s="14"/>
    </row>
    <row r="809" spans="2:2" ht="15.75" customHeight="1" x14ac:dyDescent="0.2">
      <c r="B809" s="14"/>
    </row>
    <row r="810" spans="2:2" ht="15.75" customHeight="1" x14ac:dyDescent="0.2">
      <c r="B810" s="14"/>
    </row>
    <row r="811" spans="2:2" ht="15.75" customHeight="1" x14ac:dyDescent="0.2">
      <c r="B811" s="14"/>
    </row>
    <row r="812" spans="2:2" ht="15.75" customHeight="1" x14ac:dyDescent="0.2">
      <c r="B812" s="14"/>
    </row>
    <row r="813" spans="2:2" ht="15.75" customHeight="1" x14ac:dyDescent="0.2">
      <c r="B813" s="14"/>
    </row>
    <row r="814" spans="2:2" ht="15.75" customHeight="1" x14ac:dyDescent="0.2">
      <c r="B814" s="14"/>
    </row>
    <row r="815" spans="2:2" ht="15.75" customHeight="1" x14ac:dyDescent="0.2">
      <c r="B815" s="14"/>
    </row>
    <row r="816" spans="2:2" ht="15.75" customHeight="1" x14ac:dyDescent="0.2">
      <c r="B816" s="14"/>
    </row>
    <row r="817" spans="2:2" ht="15.75" customHeight="1" x14ac:dyDescent="0.2">
      <c r="B817" s="14"/>
    </row>
    <row r="818" spans="2:2" ht="15.75" customHeight="1" x14ac:dyDescent="0.2">
      <c r="B818" s="14"/>
    </row>
    <row r="819" spans="2:2" ht="15.75" customHeight="1" x14ac:dyDescent="0.2">
      <c r="B819" s="14"/>
    </row>
    <row r="820" spans="2:2" ht="15.75" customHeight="1" x14ac:dyDescent="0.2">
      <c r="B820" s="14"/>
    </row>
    <row r="821" spans="2:2" ht="15.75" customHeight="1" x14ac:dyDescent="0.2">
      <c r="B821" s="14"/>
    </row>
    <row r="822" spans="2:2" ht="15.75" customHeight="1" x14ac:dyDescent="0.2">
      <c r="B822" s="14"/>
    </row>
    <row r="823" spans="2:2" ht="15.75" customHeight="1" x14ac:dyDescent="0.2">
      <c r="B823" s="14"/>
    </row>
    <row r="824" spans="2:2" ht="15.75" customHeight="1" x14ac:dyDescent="0.2">
      <c r="B824" s="14"/>
    </row>
    <row r="825" spans="2:2" ht="15.75" customHeight="1" x14ac:dyDescent="0.2">
      <c r="B825" s="14"/>
    </row>
    <row r="826" spans="2:2" ht="15.75" customHeight="1" x14ac:dyDescent="0.2">
      <c r="B826" s="14"/>
    </row>
    <row r="827" spans="2:2" ht="15.75" customHeight="1" x14ac:dyDescent="0.2">
      <c r="B827" s="14"/>
    </row>
    <row r="828" spans="2:2" ht="15.75" customHeight="1" x14ac:dyDescent="0.2">
      <c r="B828" s="14"/>
    </row>
    <row r="829" spans="2:2" ht="15.75" customHeight="1" x14ac:dyDescent="0.2">
      <c r="B829" s="14"/>
    </row>
    <row r="830" spans="2:2" ht="15.75" customHeight="1" x14ac:dyDescent="0.2">
      <c r="B830" s="14"/>
    </row>
    <row r="831" spans="2:2" ht="15.75" customHeight="1" x14ac:dyDescent="0.2">
      <c r="B831" s="14"/>
    </row>
    <row r="832" spans="2:2" ht="15.75" customHeight="1" x14ac:dyDescent="0.2">
      <c r="B832" s="14"/>
    </row>
    <row r="833" spans="2:2" ht="15.75" customHeight="1" x14ac:dyDescent="0.2">
      <c r="B833" s="14"/>
    </row>
    <row r="834" spans="2:2" ht="15.75" customHeight="1" x14ac:dyDescent="0.2">
      <c r="B834" s="14"/>
    </row>
    <row r="835" spans="2:2" ht="15.75" customHeight="1" x14ac:dyDescent="0.2">
      <c r="B835" s="14"/>
    </row>
    <row r="836" spans="2:2" ht="15.75" customHeight="1" x14ac:dyDescent="0.2">
      <c r="B836" s="14"/>
    </row>
    <row r="837" spans="2:2" ht="15.75" customHeight="1" x14ac:dyDescent="0.2">
      <c r="B837" s="14"/>
    </row>
    <row r="838" spans="2:2" ht="15.75" customHeight="1" x14ac:dyDescent="0.2">
      <c r="B838" s="14"/>
    </row>
    <row r="839" spans="2:2" ht="15.75" customHeight="1" x14ac:dyDescent="0.2">
      <c r="B839" s="14"/>
    </row>
    <row r="840" spans="2:2" ht="15.75" customHeight="1" x14ac:dyDescent="0.2">
      <c r="B840" s="14"/>
    </row>
    <row r="841" spans="2:2" ht="15.75" customHeight="1" x14ac:dyDescent="0.2">
      <c r="B841" s="14"/>
    </row>
    <row r="842" spans="2:2" ht="15.75" customHeight="1" x14ac:dyDescent="0.2">
      <c r="B842" s="14"/>
    </row>
    <row r="843" spans="2:2" ht="15.75" customHeight="1" x14ac:dyDescent="0.2">
      <c r="B843" s="14"/>
    </row>
    <row r="844" spans="2:2" ht="15.75" customHeight="1" x14ac:dyDescent="0.2">
      <c r="B844" s="14"/>
    </row>
    <row r="845" spans="2:2" ht="15.75" customHeight="1" x14ac:dyDescent="0.2">
      <c r="B845" s="14"/>
    </row>
    <row r="846" spans="2:2" ht="15.75" customHeight="1" x14ac:dyDescent="0.2">
      <c r="B846" s="14"/>
    </row>
    <row r="847" spans="2:2" ht="15.75" customHeight="1" x14ac:dyDescent="0.2">
      <c r="B847" s="14"/>
    </row>
    <row r="848" spans="2:2" ht="15.75" customHeight="1" x14ac:dyDescent="0.2">
      <c r="B848" s="14"/>
    </row>
    <row r="849" spans="2:2" ht="15.75" customHeight="1" x14ac:dyDescent="0.2">
      <c r="B849" s="14"/>
    </row>
    <row r="850" spans="2:2" ht="15.75" customHeight="1" x14ac:dyDescent="0.2">
      <c r="B850" s="14"/>
    </row>
    <row r="851" spans="2:2" ht="15.75" customHeight="1" x14ac:dyDescent="0.2">
      <c r="B851" s="14"/>
    </row>
    <row r="852" spans="2:2" ht="15.75" customHeight="1" x14ac:dyDescent="0.2">
      <c r="B852" s="14"/>
    </row>
    <row r="853" spans="2:2" ht="15.75" customHeight="1" x14ac:dyDescent="0.2">
      <c r="B853" s="14"/>
    </row>
    <row r="854" spans="2:2" ht="15.75" customHeight="1" x14ac:dyDescent="0.2">
      <c r="B854" s="14"/>
    </row>
    <row r="855" spans="2:2" ht="15.75" customHeight="1" x14ac:dyDescent="0.2">
      <c r="B855" s="14"/>
    </row>
    <row r="856" spans="2:2" ht="15.75" customHeight="1" x14ac:dyDescent="0.2">
      <c r="B856" s="14"/>
    </row>
    <row r="857" spans="2:2" ht="15.75" customHeight="1" x14ac:dyDescent="0.2">
      <c r="B857" s="14"/>
    </row>
    <row r="858" spans="2:2" ht="15.75" customHeight="1" x14ac:dyDescent="0.2">
      <c r="B858" s="14"/>
    </row>
    <row r="859" spans="2:2" ht="15.75" customHeight="1" x14ac:dyDescent="0.2">
      <c r="B859" s="14"/>
    </row>
    <row r="860" spans="2:2" ht="15.75" customHeight="1" x14ac:dyDescent="0.2">
      <c r="B860" s="14"/>
    </row>
    <row r="861" spans="2:2" ht="15.75" customHeight="1" x14ac:dyDescent="0.2">
      <c r="B861" s="14"/>
    </row>
    <row r="862" spans="2:2" ht="15.75" customHeight="1" x14ac:dyDescent="0.2">
      <c r="B862" s="14"/>
    </row>
    <row r="863" spans="2:2" ht="15.75" customHeight="1" x14ac:dyDescent="0.2">
      <c r="B863" s="14"/>
    </row>
    <row r="864" spans="2:2" ht="15.75" customHeight="1" x14ac:dyDescent="0.2">
      <c r="B864" s="14"/>
    </row>
    <row r="865" spans="2:2" ht="15.75" customHeight="1" x14ac:dyDescent="0.2">
      <c r="B865" s="14"/>
    </row>
    <row r="866" spans="2:2" ht="15.75" customHeight="1" x14ac:dyDescent="0.2">
      <c r="B866" s="14"/>
    </row>
    <row r="867" spans="2:2" ht="15.75" customHeight="1" x14ac:dyDescent="0.2">
      <c r="B867" s="14"/>
    </row>
    <row r="868" spans="2:2" ht="15.75" customHeight="1" x14ac:dyDescent="0.2">
      <c r="B868" s="14"/>
    </row>
    <row r="869" spans="2:2" ht="15.75" customHeight="1" x14ac:dyDescent="0.2">
      <c r="B869" s="14"/>
    </row>
    <row r="870" spans="2:2" ht="15.75" customHeight="1" x14ac:dyDescent="0.2">
      <c r="B870" s="14"/>
    </row>
    <row r="871" spans="2:2" ht="15.75" customHeight="1" x14ac:dyDescent="0.2">
      <c r="B871" s="14"/>
    </row>
    <row r="872" spans="2:2" ht="15.75" customHeight="1" x14ac:dyDescent="0.2">
      <c r="B872" s="14"/>
    </row>
    <row r="873" spans="2:2" ht="15.75" customHeight="1" x14ac:dyDescent="0.2">
      <c r="B873" s="14"/>
    </row>
    <row r="874" spans="2:2" ht="15.75" customHeight="1" x14ac:dyDescent="0.2">
      <c r="B874" s="14"/>
    </row>
    <row r="875" spans="2:2" ht="15.75" customHeight="1" x14ac:dyDescent="0.2">
      <c r="B875" s="14"/>
    </row>
    <row r="876" spans="2:2" ht="15.75" customHeight="1" x14ac:dyDescent="0.2">
      <c r="B876" s="14"/>
    </row>
    <row r="877" spans="2:2" ht="15.75" customHeight="1" x14ac:dyDescent="0.2">
      <c r="B877" s="14"/>
    </row>
    <row r="878" spans="2:2" ht="15.75" customHeight="1" x14ac:dyDescent="0.2">
      <c r="B878" s="14"/>
    </row>
    <row r="879" spans="2:2" ht="15.75" customHeight="1" x14ac:dyDescent="0.2">
      <c r="B879" s="14"/>
    </row>
    <row r="880" spans="2:2" ht="15.75" customHeight="1" x14ac:dyDescent="0.2">
      <c r="B880" s="14"/>
    </row>
    <row r="881" spans="2:2" ht="15.75" customHeight="1" x14ac:dyDescent="0.2">
      <c r="B881" s="14"/>
    </row>
    <row r="882" spans="2:2" ht="15.75" customHeight="1" x14ac:dyDescent="0.2">
      <c r="B882" s="14"/>
    </row>
    <row r="883" spans="2:2" ht="15.75" customHeight="1" x14ac:dyDescent="0.2">
      <c r="B883" s="14"/>
    </row>
    <row r="884" spans="2:2" ht="15.75" customHeight="1" x14ac:dyDescent="0.2">
      <c r="B884" s="14"/>
    </row>
    <row r="885" spans="2:2" ht="15.75" customHeight="1" x14ac:dyDescent="0.2">
      <c r="B885" s="14"/>
    </row>
    <row r="886" spans="2:2" ht="15.75" customHeight="1" x14ac:dyDescent="0.2">
      <c r="B886" s="14"/>
    </row>
    <row r="887" spans="2:2" ht="15.75" customHeight="1" x14ac:dyDescent="0.2">
      <c r="B887" s="14"/>
    </row>
    <row r="888" spans="2:2" ht="15.75" customHeight="1" x14ac:dyDescent="0.2">
      <c r="B888" s="14"/>
    </row>
    <row r="889" spans="2:2" ht="15.75" customHeight="1" x14ac:dyDescent="0.2">
      <c r="B889" s="14"/>
    </row>
    <row r="890" spans="2:2" ht="15.75" customHeight="1" x14ac:dyDescent="0.2">
      <c r="B890" s="14"/>
    </row>
    <row r="891" spans="2:2" ht="15.75" customHeight="1" x14ac:dyDescent="0.2">
      <c r="B891" s="14"/>
    </row>
    <row r="892" spans="2:2" ht="15.75" customHeight="1" x14ac:dyDescent="0.2">
      <c r="B892" s="14"/>
    </row>
    <row r="893" spans="2:2" ht="15.75" customHeight="1" x14ac:dyDescent="0.2">
      <c r="B893" s="14"/>
    </row>
    <row r="894" spans="2:2" ht="15.75" customHeight="1" x14ac:dyDescent="0.2">
      <c r="B894" s="14"/>
    </row>
    <row r="895" spans="2:2" ht="15.75" customHeight="1" x14ac:dyDescent="0.2">
      <c r="B895" s="14"/>
    </row>
    <row r="896" spans="2:2" ht="15.75" customHeight="1" x14ac:dyDescent="0.2">
      <c r="B896" s="14"/>
    </row>
    <row r="897" spans="2:2" ht="15.75" customHeight="1" x14ac:dyDescent="0.2">
      <c r="B897" s="14"/>
    </row>
    <row r="898" spans="2:2" ht="15.75" customHeight="1" x14ac:dyDescent="0.2">
      <c r="B898" s="14"/>
    </row>
    <row r="899" spans="2:2" ht="15.75" customHeight="1" x14ac:dyDescent="0.2">
      <c r="B899" s="14"/>
    </row>
    <row r="900" spans="2:2" ht="15.75" customHeight="1" x14ac:dyDescent="0.2">
      <c r="B900" s="14"/>
    </row>
    <row r="901" spans="2:2" ht="15.75" customHeight="1" x14ac:dyDescent="0.2">
      <c r="B901" s="14"/>
    </row>
    <row r="902" spans="2:2" ht="15.75" customHeight="1" x14ac:dyDescent="0.2">
      <c r="B902" s="14"/>
    </row>
    <row r="903" spans="2:2" ht="15.75" customHeight="1" x14ac:dyDescent="0.2">
      <c r="B903" s="14"/>
    </row>
    <row r="904" spans="2:2" ht="15.75" customHeight="1" x14ac:dyDescent="0.2">
      <c r="B904" s="14"/>
    </row>
    <row r="905" spans="2:2" ht="15.75" customHeight="1" x14ac:dyDescent="0.2">
      <c r="B905" s="14"/>
    </row>
    <row r="906" spans="2:2" ht="15.75" customHeight="1" x14ac:dyDescent="0.2">
      <c r="B906" s="14"/>
    </row>
    <row r="907" spans="2:2" ht="15.75" customHeight="1" x14ac:dyDescent="0.2">
      <c r="B907" s="14"/>
    </row>
    <row r="908" spans="2:2" ht="15.75" customHeight="1" x14ac:dyDescent="0.2">
      <c r="B908" s="14"/>
    </row>
    <row r="909" spans="2:2" ht="15.75" customHeight="1" x14ac:dyDescent="0.2">
      <c r="B909" s="14"/>
    </row>
    <row r="910" spans="2:2" ht="15.75" customHeight="1" x14ac:dyDescent="0.2">
      <c r="B910" s="14"/>
    </row>
    <row r="911" spans="2:2" ht="15.75" customHeight="1" x14ac:dyDescent="0.2">
      <c r="B911" s="14"/>
    </row>
    <row r="912" spans="2:2" ht="15.75" customHeight="1" x14ac:dyDescent="0.2">
      <c r="B912" s="14"/>
    </row>
    <row r="913" spans="2:2" ht="15.75" customHeight="1" x14ac:dyDescent="0.2">
      <c r="B913" s="14"/>
    </row>
    <row r="914" spans="2:2" ht="15.75" customHeight="1" x14ac:dyDescent="0.2">
      <c r="B914" s="14"/>
    </row>
    <row r="915" spans="2:2" ht="15.75" customHeight="1" x14ac:dyDescent="0.2">
      <c r="B915" s="14"/>
    </row>
    <row r="916" spans="2:2" ht="15.75" customHeight="1" x14ac:dyDescent="0.2">
      <c r="B916" s="14"/>
    </row>
    <row r="917" spans="2:2" ht="15.75" customHeight="1" x14ac:dyDescent="0.2">
      <c r="B917" s="14"/>
    </row>
    <row r="918" spans="2:2" ht="15.75" customHeight="1" x14ac:dyDescent="0.2">
      <c r="B918" s="14"/>
    </row>
    <row r="919" spans="2:2" ht="15.75" customHeight="1" x14ac:dyDescent="0.2">
      <c r="B919" s="14"/>
    </row>
    <row r="920" spans="2:2" ht="15.75" customHeight="1" x14ac:dyDescent="0.2">
      <c r="B920" s="14"/>
    </row>
    <row r="921" spans="2:2" ht="15.75" customHeight="1" x14ac:dyDescent="0.2">
      <c r="B921" s="14"/>
    </row>
    <row r="922" spans="2:2" ht="15.75" customHeight="1" x14ac:dyDescent="0.2">
      <c r="B922" s="14"/>
    </row>
    <row r="923" spans="2:2" ht="15.75" customHeight="1" x14ac:dyDescent="0.2">
      <c r="B923" s="14"/>
    </row>
    <row r="924" spans="2:2" ht="15.75" customHeight="1" x14ac:dyDescent="0.2">
      <c r="B924" s="14"/>
    </row>
    <row r="925" spans="2:2" ht="15.75" customHeight="1" x14ac:dyDescent="0.2">
      <c r="B925" s="14"/>
    </row>
    <row r="926" spans="2:2" ht="15.75" customHeight="1" x14ac:dyDescent="0.2">
      <c r="B926" s="14"/>
    </row>
    <row r="927" spans="2:2" ht="15.75" customHeight="1" x14ac:dyDescent="0.2">
      <c r="B927" s="14"/>
    </row>
    <row r="928" spans="2:2" ht="15.75" customHeight="1" x14ac:dyDescent="0.2">
      <c r="B928" s="14"/>
    </row>
    <row r="929" spans="2:2" ht="15.75" customHeight="1" x14ac:dyDescent="0.2">
      <c r="B929" s="14"/>
    </row>
    <row r="930" spans="2:2" ht="15.75" customHeight="1" x14ac:dyDescent="0.2">
      <c r="B930" s="14"/>
    </row>
    <row r="931" spans="2:2" ht="15.75" customHeight="1" x14ac:dyDescent="0.2">
      <c r="B931" s="14"/>
    </row>
    <row r="932" spans="2:2" ht="15.75" customHeight="1" x14ac:dyDescent="0.2">
      <c r="B932" s="14"/>
    </row>
    <row r="933" spans="2:2" ht="15.75" customHeight="1" x14ac:dyDescent="0.2">
      <c r="B933" s="14"/>
    </row>
    <row r="934" spans="2:2" ht="15.75" customHeight="1" x14ac:dyDescent="0.2">
      <c r="B934" s="14"/>
    </row>
    <row r="935" spans="2:2" ht="15.75" customHeight="1" x14ac:dyDescent="0.2">
      <c r="B935" s="14"/>
    </row>
    <row r="936" spans="2:2" ht="15.75" customHeight="1" x14ac:dyDescent="0.2">
      <c r="B936" s="14"/>
    </row>
    <row r="937" spans="2:2" ht="15.75" customHeight="1" x14ac:dyDescent="0.2">
      <c r="B937" s="14"/>
    </row>
    <row r="938" spans="2:2" ht="15.75" customHeight="1" x14ac:dyDescent="0.2">
      <c r="B938" s="14"/>
    </row>
    <row r="939" spans="2:2" ht="15.75" customHeight="1" x14ac:dyDescent="0.2">
      <c r="B939" s="14"/>
    </row>
    <row r="940" spans="2:2" ht="15.75" customHeight="1" x14ac:dyDescent="0.2">
      <c r="B940" s="14"/>
    </row>
    <row r="941" spans="2:2" ht="15.75" customHeight="1" x14ac:dyDescent="0.2">
      <c r="B941" s="14"/>
    </row>
    <row r="942" spans="2:2" ht="15.75" customHeight="1" x14ac:dyDescent="0.2">
      <c r="B942" s="14"/>
    </row>
    <row r="943" spans="2:2" ht="15.75" customHeight="1" x14ac:dyDescent="0.2">
      <c r="B943" s="14"/>
    </row>
    <row r="944" spans="2:2" ht="15.75" customHeight="1" x14ac:dyDescent="0.2">
      <c r="B944" s="14"/>
    </row>
    <row r="945" spans="2:2" ht="15.75" customHeight="1" x14ac:dyDescent="0.2">
      <c r="B945" s="14"/>
    </row>
    <row r="946" spans="2:2" ht="15.75" customHeight="1" x14ac:dyDescent="0.2">
      <c r="B946" s="14"/>
    </row>
    <row r="947" spans="2:2" ht="15.75" customHeight="1" x14ac:dyDescent="0.2">
      <c r="B947" s="14"/>
    </row>
    <row r="948" spans="2:2" ht="15.75" customHeight="1" x14ac:dyDescent="0.2">
      <c r="B948" s="14"/>
    </row>
    <row r="949" spans="2:2" ht="15.75" customHeight="1" x14ac:dyDescent="0.2">
      <c r="B949" s="14"/>
    </row>
    <row r="950" spans="2:2" ht="15.75" customHeight="1" x14ac:dyDescent="0.2">
      <c r="B950" s="14"/>
    </row>
    <row r="951" spans="2:2" ht="15.75" customHeight="1" x14ac:dyDescent="0.2">
      <c r="B951" s="14"/>
    </row>
    <row r="952" spans="2:2" ht="15.75" customHeight="1" x14ac:dyDescent="0.2">
      <c r="B952" s="14"/>
    </row>
    <row r="953" spans="2:2" ht="15.75" customHeight="1" x14ac:dyDescent="0.2">
      <c r="B953" s="14"/>
    </row>
    <row r="954" spans="2:2" ht="15.75" customHeight="1" x14ac:dyDescent="0.2">
      <c r="B954" s="14"/>
    </row>
    <row r="955" spans="2:2" ht="15.75" customHeight="1" x14ac:dyDescent="0.2">
      <c r="B955" s="14"/>
    </row>
    <row r="956" spans="2:2" ht="15.75" customHeight="1" x14ac:dyDescent="0.2">
      <c r="B956" s="14"/>
    </row>
    <row r="957" spans="2:2" ht="15.75" customHeight="1" x14ac:dyDescent="0.2">
      <c r="B957" s="14"/>
    </row>
    <row r="958" spans="2:2" ht="15.75" customHeight="1" x14ac:dyDescent="0.2">
      <c r="B958" s="14"/>
    </row>
    <row r="959" spans="2:2" ht="15.75" customHeight="1" x14ac:dyDescent="0.2">
      <c r="B959" s="14"/>
    </row>
    <row r="960" spans="2:2" ht="15.75" customHeight="1" x14ac:dyDescent="0.2">
      <c r="B960" s="14"/>
    </row>
    <row r="961" spans="2:2" ht="15.75" customHeight="1" x14ac:dyDescent="0.2">
      <c r="B961" s="14"/>
    </row>
    <row r="962" spans="2:2" ht="15.75" customHeight="1" x14ac:dyDescent="0.2">
      <c r="B962" s="14"/>
    </row>
    <row r="963" spans="2:2" ht="15.75" customHeight="1" x14ac:dyDescent="0.2">
      <c r="B963" s="14"/>
    </row>
    <row r="964" spans="2:2" ht="15.75" customHeight="1" x14ac:dyDescent="0.2">
      <c r="B964" s="14"/>
    </row>
    <row r="965" spans="2:2" ht="15.75" customHeight="1" x14ac:dyDescent="0.2">
      <c r="B965" s="14"/>
    </row>
    <row r="966" spans="2:2" ht="15.75" customHeight="1" x14ac:dyDescent="0.2">
      <c r="B966" s="14"/>
    </row>
    <row r="967" spans="2:2" ht="15.75" customHeight="1" x14ac:dyDescent="0.2">
      <c r="B967" s="14"/>
    </row>
    <row r="968" spans="2:2" ht="15.75" customHeight="1" x14ac:dyDescent="0.2">
      <c r="B968" s="14"/>
    </row>
    <row r="969" spans="2:2" ht="15.75" customHeight="1" x14ac:dyDescent="0.2">
      <c r="B969" s="14"/>
    </row>
    <row r="970" spans="2:2" ht="15.75" customHeight="1" x14ac:dyDescent="0.2">
      <c r="B970" s="14"/>
    </row>
    <row r="971" spans="2:2" ht="15.75" customHeight="1" x14ac:dyDescent="0.2">
      <c r="B971" s="14"/>
    </row>
    <row r="972" spans="2:2" ht="15.75" customHeight="1" x14ac:dyDescent="0.2">
      <c r="B972" s="14"/>
    </row>
    <row r="973" spans="2:2" ht="15.75" customHeight="1" x14ac:dyDescent="0.2">
      <c r="B973" s="14"/>
    </row>
    <row r="974" spans="2:2" ht="15.75" customHeight="1" x14ac:dyDescent="0.2">
      <c r="B974" s="14"/>
    </row>
    <row r="975" spans="2:2" ht="15.75" customHeight="1" x14ac:dyDescent="0.2">
      <c r="B975" s="14"/>
    </row>
    <row r="976" spans="2:2" ht="15.75" customHeight="1" x14ac:dyDescent="0.2">
      <c r="B976" s="14"/>
    </row>
    <row r="977" spans="2:2" ht="15.75" customHeight="1" x14ac:dyDescent="0.2">
      <c r="B977" s="14"/>
    </row>
    <row r="978" spans="2:2" ht="15.75" customHeight="1" x14ac:dyDescent="0.2">
      <c r="B978" s="14"/>
    </row>
    <row r="979" spans="2:2" ht="15.75" customHeight="1" x14ac:dyDescent="0.2">
      <c r="B979" s="14"/>
    </row>
    <row r="980" spans="2:2" ht="15.75" customHeight="1" x14ac:dyDescent="0.2">
      <c r="B980" s="14"/>
    </row>
    <row r="981" spans="2:2" ht="15.75" customHeight="1" x14ac:dyDescent="0.2">
      <c r="B981" s="14"/>
    </row>
    <row r="982" spans="2:2" ht="15.75" customHeight="1" x14ac:dyDescent="0.2">
      <c r="B982" s="14"/>
    </row>
    <row r="983" spans="2:2" ht="15.75" customHeight="1" x14ac:dyDescent="0.2">
      <c r="B983" s="14"/>
    </row>
    <row r="984" spans="2:2" ht="15.75" customHeight="1" x14ac:dyDescent="0.2">
      <c r="B984" s="14"/>
    </row>
    <row r="985" spans="2:2" ht="15.75" customHeight="1" x14ac:dyDescent="0.2">
      <c r="B985" s="14"/>
    </row>
    <row r="986" spans="2:2" ht="15.75" customHeight="1" x14ac:dyDescent="0.2">
      <c r="B986" s="14"/>
    </row>
    <row r="987" spans="2:2" ht="15.75" customHeight="1" x14ac:dyDescent="0.2">
      <c r="B987" s="14"/>
    </row>
    <row r="988" spans="2:2" ht="15.75" customHeight="1" x14ac:dyDescent="0.2">
      <c r="B988" s="14"/>
    </row>
    <row r="989" spans="2:2" ht="15.75" customHeight="1" x14ac:dyDescent="0.2">
      <c r="B989" s="14"/>
    </row>
    <row r="990" spans="2:2" ht="15.75" customHeight="1" x14ac:dyDescent="0.2">
      <c r="B990" s="14"/>
    </row>
    <row r="991" spans="2:2" ht="15.75" customHeight="1" x14ac:dyDescent="0.2">
      <c r="B991" s="14"/>
    </row>
    <row r="992" spans="2:2" ht="15.75" customHeight="1" x14ac:dyDescent="0.2">
      <c r="B992" s="14"/>
    </row>
    <row r="993" spans="2:2" ht="15.75" customHeight="1" x14ac:dyDescent="0.2">
      <c r="B993" s="14"/>
    </row>
    <row r="994" spans="2:2" ht="15.75" customHeight="1" x14ac:dyDescent="0.2">
      <c r="B994" s="14"/>
    </row>
    <row r="995" spans="2:2" ht="15.75" customHeight="1" x14ac:dyDescent="0.2">
      <c r="B995" s="14"/>
    </row>
    <row r="996" spans="2:2" ht="15.75" customHeight="1" x14ac:dyDescent="0.2">
      <c r="B996" s="14"/>
    </row>
    <row r="997" spans="2:2" ht="15.75" customHeight="1" x14ac:dyDescent="0.2">
      <c r="B997" s="14"/>
    </row>
    <row r="998" spans="2:2" ht="15.75" customHeight="1" x14ac:dyDescent="0.2">
      <c r="B998" s="14"/>
    </row>
    <row r="999" spans="2:2" ht="15.75" customHeight="1" x14ac:dyDescent="0.2">
      <c r="B999" s="14"/>
    </row>
    <row r="1000" spans="2:2" ht="15.75" customHeight="1" x14ac:dyDescent="0.2">
      <c r="B1000" s="14"/>
    </row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129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128</v>
      </c>
    </row>
    <row r="4" spans="1:10" x14ac:dyDescent="0.2">
      <c r="A4" s="4" t="s">
        <v>4</v>
      </c>
      <c r="B4" s="5" t="s">
        <v>14</v>
      </c>
      <c r="C4" s="25">
        <v>0</v>
      </c>
      <c r="E4" s="4" t="s">
        <v>5</v>
      </c>
      <c r="F4" s="5">
        <f>(0.01+0.05+0.08)/3</f>
        <v>4.6666666666666669E-2</v>
      </c>
      <c r="G4" s="25">
        <v>3</v>
      </c>
      <c r="I4" s="6" t="s">
        <v>9</v>
      </c>
      <c r="J4" s="7">
        <v>3.11</v>
      </c>
    </row>
    <row r="5" spans="1:10" x14ac:dyDescent="0.2">
      <c r="A5" s="4" t="s">
        <v>7</v>
      </c>
      <c r="B5" s="9">
        <f>(1.67+2.88+1.71+5.36+2.02+0.03+1.61+0.97+1.88+1.52+4.16+0.67+2.09+2.03+1.61+0.7+2.72+3.23+3.28+3.04+4.57+3.97+2.42+2.48+3.65+1.99+2.18+2.59+2.98+2.92+1.31+0.99+2.22+2.93+1.08+2.67+1.34+2.11+2.28+3.98+1.68+5.23+1.54+2.19)/44</f>
        <v>2.3745454545454554</v>
      </c>
      <c r="C5" s="26">
        <v>44</v>
      </c>
      <c r="E5" s="4" t="s">
        <v>8</v>
      </c>
      <c r="F5" s="9">
        <f>(0.38+0.17+0.1+0.1+0.09)/5</f>
        <v>0.16799999999999998</v>
      </c>
      <c r="G5" s="26">
        <v>5</v>
      </c>
      <c r="I5" s="6" t="s">
        <v>12</v>
      </c>
      <c r="J5" s="7">
        <v>3.41</v>
      </c>
    </row>
    <row r="6" spans="1:10" x14ac:dyDescent="0.2">
      <c r="A6" s="4" t="s">
        <v>10</v>
      </c>
      <c r="B6" s="9">
        <v>0.03</v>
      </c>
      <c r="C6" s="26">
        <v>1</v>
      </c>
      <c r="E6" s="4" t="s">
        <v>11</v>
      </c>
      <c r="F6" s="9">
        <f>(0.41+0.02+0.02+0.01+0.01+0.03+0.01)/14</f>
        <v>3.6428571428571428E-2</v>
      </c>
      <c r="G6" s="26">
        <v>14</v>
      </c>
      <c r="I6" s="6" t="s">
        <v>16</v>
      </c>
      <c r="J6" s="7">
        <v>3.08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0.01</v>
      </c>
      <c r="G7" s="25">
        <v>1</v>
      </c>
      <c r="I7" s="6" t="s">
        <v>19</v>
      </c>
      <c r="J7" s="7">
        <v>3.17</v>
      </c>
    </row>
    <row r="8" spans="1:10" x14ac:dyDescent="0.2">
      <c r="A8" s="4" t="s">
        <v>17</v>
      </c>
      <c r="B8" s="5">
        <v>0.01</v>
      </c>
      <c r="C8" s="25">
        <v>5</v>
      </c>
      <c r="E8" s="4" t="s">
        <v>18</v>
      </c>
      <c r="F8" s="5">
        <f>(0.28+0.03+0.05+0.2+0.39+0.06+0.05+0.04)/8</f>
        <v>0.13750000000000001</v>
      </c>
      <c r="G8" s="25">
        <v>8</v>
      </c>
      <c r="I8" s="6" t="s">
        <v>22</v>
      </c>
      <c r="J8" s="7">
        <v>3.71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(0+0+0.01)/3</f>
        <v>3.3333333333333335E-3</v>
      </c>
      <c r="G9" s="26">
        <v>3</v>
      </c>
      <c r="I9" s="6" t="s">
        <v>25</v>
      </c>
      <c r="J9" s="7">
        <v>3.95</v>
      </c>
    </row>
    <row r="10" spans="1:10" x14ac:dyDescent="0.2">
      <c r="A10" s="4" t="s">
        <v>23</v>
      </c>
      <c r="B10" s="27">
        <v>0.17</v>
      </c>
      <c r="C10" s="26">
        <v>5</v>
      </c>
      <c r="E10" s="4" t="s">
        <v>24</v>
      </c>
      <c r="F10" s="9">
        <f>(0.19+0.17+0+0.07)/4</f>
        <v>0.1075</v>
      </c>
      <c r="G10" s="26">
        <v>4</v>
      </c>
      <c r="I10" s="6" t="s">
        <v>28</v>
      </c>
      <c r="J10" s="7">
        <v>3.81</v>
      </c>
    </row>
    <row r="11" spans="1:10" x14ac:dyDescent="0.2">
      <c r="A11" s="4" t="s">
        <v>26</v>
      </c>
      <c r="B11" s="5">
        <f>(0.04+0+0.25)/3</f>
        <v>9.6666666666666665E-2</v>
      </c>
      <c r="C11" s="25">
        <v>3</v>
      </c>
      <c r="E11" s="4" t="s">
        <v>27</v>
      </c>
      <c r="F11" s="5">
        <f>(0.04+0.95+0+0+0.03+0+0)/7</f>
        <v>0.14571428571428571</v>
      </c>
      <c r="G11" s="25">
        <v>7</v>
      </c>
      <c r="I11" s="6" t="s">
        <v>31</v>
      </c>
      <c r="J11" s="7">
        <v>3.76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3.74</v>
      </c>
    </row>
    <row r="13" spans="1:10" x14ac:dyDescent="0.2">
      <c r="A13" s="4" t="s">
        <v>32</v>
      </c>
      <c r="B13" s="9">
        <v>0.16</v>
      </c>
      <c r="C13" s="26">
        <v>1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2.77</v>
      </c>
    </row>
    <row r="14" spans="1:10" x14ac:dyDescent="0.2">
      <c r="A14" s="4" t="s">
        <v>35</v>
      </c>
      <c r="B14" s="9">
        <v>0</v>
      </c>
      <c r="C14" s="26">
        <v>1</v>
      </c>
      <c r="E14" s="4" t="s">
        <v>36</v>
      </c>
      <c r="F14" s="9">
        <f>(0.89+0.05+1.78+0.06+0.14+0.04+0.6+0.04+0.08+0.95)/26</f>
        <v>0.1780769230769231</v>
      </c>
      <c r="G14" s="26">
        <v>26</v>
      </c>
      <c r="I14" s="6" t="s">
        <v>40</v>
      </c>
      <c r="J14" s="7">
        <v>3.83</v>
      </c>
    </row>
    <row r="15" spans="1:10" x14ac:dyDescent="0.2">
      <c r="A15" s="4" t="s">
        <v>38</v>
      </c>
      <c r="B15" s="5">
        <v>0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3.61</v>
      </c>
    </row>
    <row r="16" spans="1:10" x14ac:dyDescent="0.2">
      <c r="A16" s="4" t="s">
        <v>41</v>
      </c>
      <c r="B16" s="5">
        <f>(0.27+0+0.07)/3</f>
        <v>0.11333333333333334</v>
      </c>
      <c r="C16" s="25">
        <v>3</v>
      </c>
      <c r="E16" s="4" t="s">
        <v>42</v>
      </c>
      <c r="F16" s="5">
        <v>0</v>
      </c>
      <c r="G16" s="25">
        <v>1</v>
      </c>
      <c r="I16" s="6" t="s">
        <v>46</v>
      </c>
      <c r="J16" s="7">
        <v>2.82</v>
      </c>
    </row>
    <row r="17" spans="1:10" x14ac:dyDescent="0.2">
      <c r="A17" s="4" t="s">
        <v>44</v>
      </c>
      <c r="B17" s="9">
        <v>0</v>
      </c>
      <c r="C17" s="26">
        <v>1</v>
      </c>
      <c r="E17" s="4" t="s">
        <v>45</v>
      </c>
      <c r="F17" s="9">
        <f>(0+0.02+0+0.01+0+0+0.01+0+0.02+0)/10</f>
        <v>6.0000000000000001E-3</v>
      </c>
      <c r="G17" s="26">
        <v>10</v>
      </c>
      <c r="I17" s="6" t="s">
        <v>49</v>
      </c>
      <c r="J17" s="7">
        <v>2.5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(0.62+0.69+0.92+0.6+0.74+0.73+0.6+0.6+0+0.84+0.7+0.67+1.1+0.64+10+0.83+0.73+0.65+0.64+0.39+0.5+0.63+0.73+0.35+0.47+0.48)/26</f>
        <v>0.99423076923076925</v>
      </c>
      <c r="G18" s="26">
        <v>26</v>
      </c>
      <c r="I18" s="6" t="s">
        <v>52</v>
      </c>
      <c r="J18" s="7">
        <v>3.85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(0.23+0.4+0.57+0.48)/4</f>
        <v>0.42</v>
      </c>
      <c r="G19" s="25">
        <v>4</v>
      </c>
      <c r="I19" s="6" t="s">
        <v>55</v>
      </c>
      <c r="J19" s="7">
        <v>3.53</v>
      </c>
    </row>
    <row r="20" spans="1:10" x14ac:dyDescent="0.2">
      <c r="A20" s="4" t="s">
        <v>53</v>
      </c>
      <c r="B20" s="24">
        <f>(0.02+0+0.36+0.02)/4</f>
        <v>0.1</v>
      </c>
      <c r="C20" s="30">
        <v>4</v>
      </c>
      <c r="E20" s="4" t="s">
        <v>54</v>
      </c>
      <c r="F20" s="5">
        <f>(0.06+0.03+0.01+0)/4</f>
        <v>2.4999999999999998E-2</v>
      </c>
      <c r="G20" s="25">
        <v>4</v>
      </c>
      <c r="I20" s="6" t="s">
        <v>58</v>
      </c>
      <c r="J20" s="7">
        <v>2.96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(0+0+0+0.11+0+0.13+0+0+0.04)/9</f>
        <v>3.1111111111111107E-2</v>
      </c>
      <c r="G21" s="26">
        <v>9</v>
      </c>
      <c r="I21" s="6" t="s">
        <v>61</v>
      </c>
      <c r="J21" s="7">
        <v>3.55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64</v>
      </c>
      <c r="J22" s="7">
        <v>3.63</v>
      </c>
    </row>
    <row r="23" spans="1:10" ht="15.75" customHeight="1" x14ac:dyDescent="0.2">
      <c r="A23" s="4" t="s">
        <v>62</v>
      </c>
      <c r="B23" s="5">
        <v>0.47</v>
      </c>
      <c r="C23" s="25">
        <v>1</v>
      </c>
      <c r="E23" s="4" t="s">
        <v>63</v>
      </c>
      <c r="F23" s="5" t="s">
        <v>14</v>
      </c>
      <c r="G23" s="25">
        <v>0</v>
      </c>
      <c r="I23" s="6" t="s">
        <v>67</v>
      </c>
      <c r="J23" s="7">
        <v>3.52</v>
      </c>
    </row>
    <row r="24" spans="1:10" ht="15.75" customHeight="1" x14ac:dyDescent="0.2">
      <c r="A24" s="4" t="s">
        <v>65</v>
      </c>
      <c r="B24" s="5" t="s">
        <v>14</v>
      </c>
      <c r="C24" s="25">
        <v>0</v>
      </c>
      <c r="E24" s="4" t="s">
        <v>66</v>
      </c>
      <c r="F24" s="5" t="s">
        <v>14</v>
      </c>
      <c r="G24" s="25">
        <v>0</v>
      </c>
      <c r="I24" s="6" t="s">
        <v>70</v>
      </c>
      <c r="J24" s="7">
        <v>3.64</v>
      </c>
    </row>
    <row r="25" spans="1:10" ht="15.75" customHeight="1" x14ac:dyDescent="0.2">
      <c r="A25" s="4" t="s">
        <v>68</v>
      </c>
      <c r="B25" s="9">
        <f>(0+0+0.05+0)/4</f>
        <v>1.2500000000000001E-2</v>
      </c>
      <c r="C25" s="26">
        <v>4</v>
      </c>
      <c r="E25" s="4" t="s">
        <v>69</v>
      </c>
      <c r="F25" s="9">
        <f>(0+0)/0.2</f>
        <v>0</v>
      </c>
      <c r="G25" s="26">
        <v>2</v>
      </c>
      <c r="I25" s="6" t="s">
        <v>73</v>
      </c>
      <c r="J25" s="7">
        <v>4.1500000000000004</v>
      </c>
    </row>
    <row r="26" spans="1:10" ht="15.75" customHeight="1" x14ac:dyDescent="0.2">
      <c r="A26" s="4" t="s">
        <v>71</v>
      </c>
      <c r="B26" s="9" t="s">
        <v>14</v>
      </c>
      <c r="C26" s="26">
        <v>0</v>
      </c>
      <c r="E26" s="4" t="s">
        <v>72</v>
      </c>
      <c r="F26" s="9">
        <v>0</v>
      </c>
      <c r="G26" s="26">
        <v>1</v>
      </c>
      <c r="I26" s="6" t="s">
        <v>76</v>
      </c>
      <c r="J26" s="7">
        <v>3.83</v>
      </c>
    </row>
    <row r="27" spans="1:10" ht="15.75" customHeight="1" x14ac:dyDescent="0.2">
      <c r="A27" s="4" t="s">
        <v>74</v>
      </c>
      <c r="B27" s="5">
        <v>0</v>
      </c>
      <c r="C27" s="25">
        <v>1</v>
      </c>
      <c r="E27" s="4" t="s">
        <v>75</v>
      </c>
      <c r="F27" s="5">
        <v>0</v>
      </c>
      <c r="G27" s="25">
        <v>7</v>
      </c>
      <c r="I27" s="6" t="s">
        <v>79</v>
      </c>
      <c r="J27" s="7">
        <v>3.45</v>
      </c>
    </row>
    <row r="28" spans="1:10" ht="15.75" customHeight="1" x14ac:dyDescent="0.2">
      <c r="A28" s="4" t="s">
        <v>77</v>
      </c>
      <c r="B28" s="5">
        <f>(0.09+0.06+0.11+0.08)/4</f>
        <v>8.5000000000000006E-2</v>
      </c>
      <c r="C28" s="25">
        <v>4</v>
      </c>
      <c r="E28" s="4" t="s">
        <v>78</v>
      </c>
      <c r="F28" s="5">
        <f>(0.04+0.04+0.01+0.03+0+0+0+0.02+0.65)/16</f>
        <v>4.9375000000000002E-2</v>
      </c>
      <c r="G28" s="25">
        <v>16</v>
      </c>
      <c r="I28" s="6" t="s">
        <v>82</v>
      </c>
      <c r="J28" s="7">
        <v>3.4</v>
      </c>
    </row>
    <row r="29" spans="1:10" ht="15.75" customHeight="1" x14ac:dyDescent="0.2">
      <c r="A29" s="4" t="s">
        <v>80</v>
      </c>
      <c r="B29" s="9">
        <f>(0+0)/2</f>
        <v>0</v>
      </c>
      <c r="C29" s="26">
        <v>2</v>
      </c>
      <c r="E29" s="4" t="s">
        <v>81</v>
      </c>
      <c r="F29" s="9">
        <v>0</v>
      </c>
      <c r="G29" s="26">
        <v>1</v>
      </c>
      <c r="I29" s="6" t="s">
        <v>85</v>
      </c>
      <c r="J29" s="7">
        <v>4</v>
      </c>
    </row>
    <row r="30" spans="1:10" ht="15.75" customHeight="1" x14ac:dyDescent="0.2">
      <c r="A30" s="4" t="s">
        <v>83</v>
      </c>
      <c r="B30" s="9">
        <f>(0.81+0)/2</f>
        <v>0.40500000000000003</v>
      </c>
      <c r="C30" s="26">
        <v>2</v>
      </c>
      <c r="E30" s="4" t="s">
        <v>84</v>
      </c>
      <c r="F30" s="9">
        <v>0</v>
      </c>
      <c r="G30" s="26">
        <v>1</v>
      </c>
      <c r="I30" s="6" t="s">
        <v>88</v>
      </c>
      <c r="J30" s="7">
        <v>3.28</v>
      </c>
    </row>
    <row r="31" spans="1:10" ht="15.75" customHeight="1" x14ac:dyDescent="0.2">
      <c r="A31" s="4" t="s">
        <v>86</v>
      </c>
      <c r="B31" s="5">
        <f>(0+0.1)/2</f>
        <v>0.05</v>
      </c>
      <c r="C31" s="25">
        <v>2</v>
      </c>
      <c r="E31" s="4" t="s">
        <v>87</v>
      </c>
      <c r="F31" s="5">
        <v>0</v>
      </c>
      <c r="G31" s="25">
        <v>1</v>
      </c>
      <c r="I31" s="6" t="s">
        <v>90</v>
      </c>
      <c r="J31" s="7">
        <v>3.73</v>
      </c>
    </row>
    <row r="32" spans="1:10" ht="15.75" customHeight="1" x14ac:dyDescent="0.2">
      <c r="A32" s="4" t="s">
        <v>64</v>
      </c>
      <c r="B32" s="5">
        <v>0</v>
      </c>
      <c r="C32" s="25">
        <v>1</v>
      </c>
      <c r="E32" s="4" t="s">
        <v>89</v>
      </c>
      <c r="F32" s="5">
        <v>0</v>
      </c>
      <c r="G32" s="25">
        <v>1</v>
      </c>
      <c r="I32" s="6" t="s">
        <v>93</v>
      </c>
      <c r="J32" s="7">
        <v>2.9</v>
      </c>
    </row>
    <row r="33" spans="1:10" ht="15.75" customHeight="1" x14ac:dyDescent="0.2">
      <c r="A33" s="4" t="s">
        <v>91</v>
      </c>
      <c r="B33" s="9" t="s">
        <v>14</v>
      </c>
      <c r="C33" s="26">
        <v>0</v>
      </c>
      <c r="E33" s="4" t="s">
        <v>92</v>
      </c>
      <c r="F33" s="9">
        <v>0</v>
      </c>
      <c r="G33" s="26">
        <v>2</v>
      </c>
      <c r="I33" s="6" t="s">
        <v>96</v>
      </c>
      <c r="J33" s="7">
        <v>3.07</v>
      </c>
    </row>
    <row r="34" spans="1:10" ht="15.75" customHeight="1" x14ac:dyDescent="0.2">
      <c r="A34" s="4" t="s">
        <v>94</v>
      </c>
      <c r="B34" s="9" t="s">
        <v>14</v>
      </c>
      <c r="C34" s="26">
        <v>0</v>
      </c>
      <c r="E34" s="4" t="s">
        <v>95</v>
      </c>
      <c r="F34" s="9">
        <v>3.75</v>
      </c>
      <c r="G34" s="26">
        <v>1</v>
      </c>
      <c r="I34" s="6" t="s">
        <v>99</v>
      </c>
      <c r="J34" s="7">
        <v>3.92</v>
      </c>
    </row>
    <row r="35" spans="1:10" ht="15.75" customHeight="1" x14ac:dyDescent="0.2">
      <c r="A35" s="4" t="s">
        <v>97</v>
      </c>
      <c r="B35" s="5" t="s">
        <v>14</v>
      </c>
      <c r="C35" s="25">
        <v>0</v>
      </c>
      <c r="E35" s="4" t="s">
        <v>98</v>
      </c>
      <c r="F35" s="5">
        <f>(0.36+0.3)/2</f>
        <v>0.32999999999999996</v>
      </c>
      <c r="G35" s="25">
        <v>2</v>
      </c>
      <c r="I35" s="6" t="s">
        <v>102</v>
      </c>
      <c r="J35" s="7">
        <v>3.5</v>
      </c>
    </row>
    <row r="36" spans="1:10" ht="15.75" customHeight="1" x14ac:dyDescent="0.2">
      <c r="A36" s="4" t="s">
        <v>100</v>
      </c>
      <c r="B36" s="5" t="s">
        <v>14</v>
      </c>
      <c r="C36" s="25">
        <v>0</v>
      </c>
      <c r="E36" s="4" t="s">
        <v>101</v>
      </c>
      <c r="F36" s="5">
        <f>(0+0.01)</f>
        <v>0.01</v>
      </c>
      <c r="G36" s="25">
        <v>4</v>
      </c>
      <c r="I36" s="6" t="s">
        <v>104</v>
      </c>
      <c r="J36" s="7">
        <v>3.06</v>
      </c>
    </row>
    <row r="37" spans="1:10" ht="15.75" customHeight="1" x14ac:dyDescent="0.2">
      <c r="A37" s="4" t="s">
        <v>103</v>
      </c>
      <c r="B37" s="9" t="s">
        <v>14</v>
      </c>
      <c r="C37" s="26">
        <v>0</v>
      </c>
      <c r="I37" s="6" t="s">
        <v>105</v>
      </c>
      <c r="J37" s="7">
        <v>3.3</v>
      </c>
    </row>
    <row r="38" spans="1:10" ht="15.75" customHeight="1" x14ac:dyDescent="0.2">
      <c r="I38" s="6" t="s">
        <v>106</v>
      </c>
      <c r="J38" s="7">
        <v>2.86</v>
      </c>
    </row>
    <row r="39" spans="1:10" ht="15.75" customHeight="1" x14ac:dyDescent="0.2">
      <c r="I39" s="6" t="s">
        <v>107</v>
      </c>
      <c r="J39" s="7">
        <v>2.89</v>
      </c>
    </row>
    <row r="40" spans="1:10" ht="15.75" customHeight="1" x14ac:dyDescent="0.2">
      <c r="I40" s="6" t="s">
        <v>108</v>
      </c>
      <c r="J40" s="7">
        <v>3.47</v>
      </c>
    </row>
    <row r="41" spans="1:10" ht="15.75" customHeight="1" x14ac:dyDescent="0.2">
      <c r="I41" s="6" t="s">
        <v>109</v>
      </c>
      <c r="J41" s="7">
        <v>3.06</v>
      </c>
    </row>
    <row r="42" spans="1:10" ht="15.75" customHeight="1" x14ac:dyDescent="0.2">
      <c r="I42" s="6" t="s">
        <v>110</v>
      </c>
      <c r="J42" s="7">
        <v>3.32</v>
      </c>
    </row>
    <row r="43" spans="1:10" ht="15.75" customHeight="1" x14ac:dyDescent="0.2">
      <c r="I43" s="6" t="s">
        <v>111</v>
      </c>
      <c r="J43" s="7">
        <v>3.76</v>
      </c>
    </row>
    <row r="44" spans="1:10" ht="15.75" customHeight="1" x14ac:dyDescent="0.2">
      <c r="I44" s="6" t="s">
        <v>112</v>
      </c>
      <c r="J44" s="7">
        <v>3.56</v>
      </c>
    </row>
    <row r="45" spans="1:10" ht="15.75" customHeight="1" x14ac:dyDescent="0.2">
      <c r="I45" s="6" t="s">
        <v>113</v>
      </c>
      <c r="J45" s="7">
        <v>2.9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130</v>
      </c>
      <c r="B2" s="32"/>
      <c r="C2" s="32"/>
      <c r="D2" s="32"/>
      <c r="E2" s="32"/>
      <c r="F2" s="32"/>
      <c r="G2" s="32"/>
      <c r="H2" s="32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131</v>
      </c>
    </row>
    <row r="4" spans="1:10" x14ac:dyDescent="0.2">
      <c r="A4" s="4" t="s">
        <v>4</v>
      </c>
      <c r="B4" s="5" t="s">
        <v>14</v>
      </c>
      <c r="C4" s="25">
        <v>0</v>
      </c>
      <c r="E4" s="4" t="s">
        <v>5</v>
      </c>
      <c r="F4" s="5">
        <f>(2.87+3.36+3.67)/3</f>
        <v>3.3000000000000003</v>
      </c>
      <c r="G4" s="25">
        <v>3</v>
      </c>
      <c r="I4" s="6" t="s">
        <v>9</v>
      </c>
      <c r="J4" s="7">
        <v>4.6100000000000003</v>
      </c>
    </row>
    <row r="5" spans="1:10" x14ac:dyDescent="0.2">
      <c r="A5" s="4" t="s">
        <v>7</v>
      </c>
      <c r="B5" s="9">
        <f>(6.57+6.7+7.15+7.06+8.81+6.93+5.15+5.98+5.55+7.08+6.28+7.17+7.5+8.09+6.52+6.53+8.52+6.08+6.94+5.88+6.52+6.37+5.36+7.53+8.2+6.75+8.86+8.99+7.52+7.78+5.93+8.67+6.08+6.49+6.36+8.12+5.9+6.74+7.06+3.94+7.1+7.32+6.99+7.83)/40</f>
        <v>7.6225000000000005</v>
      </c>
      <c r="C5" s="26">
        <v>40</v>
      </c>
      <c r="E5" s="4" t="s">
        <v>8</v>
      </c>
      <c r="F5" s="9">
        <f>(4.47+5.83+3.52+5.5+5.96+4.97)/6</f>
        <v>5.041666666666667</v>
      </c>
      <c r="G5" s="26">
        <v>6</v>
      </c>
      <c r="I5" s="6" t="s">
        <v>12</v>
      </c>
      <c r="J5" s="7">
        <v>4.93</v>
      </c>
    </row>
    <row r="6" spans="1:10" x14ac:dyDescent="0.2">
      <c r="A6" s="4" t="s">
        <v>10</v>
      </c>
      <c r="B6" s="9">
        <v>1.1399999999999999</v>
      </c>
      <c r="C6" s="26">
        <v>1</v>
      </c>
      <c r="E6" s="4" t="s">
        <v>11</v>
      </c>
      <c r="F6" s="9">
        <f>(5.85+2.35+5.06+5.72+4.63+4.34+4.78+4.61+5.03+4.41+6.04+4.02+5.37+4+6.11)/15</f>
        <v>4.8213333333333335</v>
      </c>
      <c r="G6" s="26">
        <v>15</v>
      </c>
      <c r="I6" s="6" t="s">
        <v>16</v>
      </c>
      <c r="J6" s="7">
        <v>4.79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5.56</v>
      </c>
      <c r="G7" s="25">
        <v>1</v>
      </c>
      <c r="I7" s="6" t="s">
        <v>19</v>
      </c>
      <c r="J7" s="7">
        <v>4.84</v>
      </c>
    </row>
    <row r="8" spans="1:10" x14ac:dyDescent="0.2">
      <c r="A8" s="4" t="s">
        <v>17</v>
      </c>
      <c r="B8" s="5">
        <f>(4.54+4.6+4.33+2.77+4.98+5.38)/6</f>
        <v>4.4333333333333336</v>
      </c>
      <c r="C8" s="25">
        <v>6</v>
      </c>
      <c r="E8" s="4" t="s">
        <v>18</v>
      </c>
      <c r="F8" s="5">
        <f>(5.55+2.4+2.81+4.48+3.77+3.13+3.24+2.41+1.98)/9</f>
        <v>3.3077777777777779</v>
      </c>
      <c r="G8" s="25">
        <v>9</v>
      </c>
      <c r="I8" s="6" t="s">
        <v>22</v>
      </c>
      <c r="J8" s="7">
        <v>4.7300000000000004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(4.41+0.79+5.16)/3</f>
        <v>3.4533333333333331</v>
      </c>
      <c r="G9" s="26">
        <v>3</v>
      </c>
      <c r="I9" s="6" t="s">
        <v>25</v>
      </c>
      <c r="J9" s="7">
        <v>5.14</v>
      </c>
    </row>
    <row r="10" spans="1:10" x14ac:dyDescent="0.2">
      <c r="A10" s="4" t="s">
        <v>23</v>
      </c>
      <c r="B10" s="9">
        <f>(2.98+2.47+2.63+3.49+3.23)/5</f>
        <v>2.96</v>
      </c>
      <c r="C10" s="26">
        <v>5</v>
      </c>
      <c r="E10" s="4" t="s">
        <v>24</v>
      </c>
      <c r="F10" s="9">
        <f>(3.57+3.73+3.1+3.93+0)/5</f>
        <v>2.8660000000000001</v>
      </c>
      <c r="G10" s="26">
        <v>5</v>
      </c>
      <c r="I10" s="6" t="s">
        <v>28</v>
      </c>
      <c r="J10" s="7">
        <v>5.0599999999999996</v>
      </c>
    </row>
    <row r="11" spans="1:10" x14ac:dyDescent="0.2">
      <c r="A11" s="4" t="s">
        <v>26</v>
      </c>
      <c r="B11" s="5">
        <f>(4.19+6+3.99)/3</f>
        <v>4.7266666666666675</v>
      </c>
      <c r="C11" s="25">
        <v>3</v>
      </c>
      <c r="E11" s="4" t="s">
        <v>27</v>
      </c>
      <c r="F11" s="5">
        <f>(4.64+3.55+3.39+3.65+4.4+3.13+3.66)/7</f>
        <v>3.7742857142857145</v>
      </c>
      <c r="G11" s="25">
        <v>7</v>
      </c>
      <c r="I11" s="6" t="s">
        <v>31</v>
      </c>
      <c r="J11" s="7">
        <v>5.2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5.08</v>
      </c>
    </row>
    <row r="13" spans="1:10" x14ac:dyDescent="0.2">
      <c r="A13" s="4" t="s">
        <v>32</v>
      </c>
      <c r="B13" s="9">
        <v>5.33</v>
      </c>
      <c r="C13" s="26">
        <v>1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5.04</v>
      </c>
    </row>
    <row r="14" spans="1:10" x14ac:dyDescent="0.2">
      <c r="A14" s="4" t="s">
        <v>35</v>
      </c>
      <c r="B14" s="9">
        <v>2.6</v>
      </c>
      <c r="C14" s="26">
        <v>1</v>
      </c>
      <c r="E14" s="4" t="s">
        <v>36</v>
      </c>
      <c r="F14" s="9">
        <f>(3.9+3.89+3.96+4.1+3.68+3.66+3.91+3.86+2.8+2.14+4.35+3.55+3.77+3.79+3.69+3.54+3.36+4.24+3.95+4.18+3.94+4.31+4.23+3.94+3.52+3.44+2.51+3.39+3.59+4.11)/30</f>
        <v>3.71</v>
      </c>
      <c r="G14" s="26">
        <v>30</v>
      </c>
      <c r="I14" s="6" t="s">
        <v>40</v>
      </c>
      <c r="J14" s="7">
        <v>5.78</v>
      </c>
    </row>
    <row r="15" spans="1:10" x14ac:dyDescent="0.2">
      <c r="A15" s="4" t="s">
        <v>38</v>
      </c>
      <c r="B15" s="5">
        <v>0.31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5.78</v>
      </c>
    </row>
    <row r="16" spans="1:10" x14ac:dyDescent="0.2">
      <c r="A16" s="4" t="s">
        <v>41</v>
      </c>
      <c r="B16" s="5">
        <f>(5+4.29+5.23)/3</f>
        <v>4.84</v>
      </c>
      <c r="C16" s="25">
        <v>3</v>
      </c>
      <c r="E16" s="4" t="s">
        <v>42</v>
      </c>
      <c r="F16" s="5">
        <v>4.5199999999999996</v>
      </c>
      <c r="G16" s="25">
        <v>1</v>
      </c>
      <c r="I16" s="6" t="s">
        <v>46</v>
      </c>
      <c r="J16" s="7">
        <v>5.05</v>
      </c>
    </row>
    <row r="17" spans="1:10" x14ac:dyDescent="0.2">
      <c r="A17" s="4" t="s">
        <v>44</v>
      </c>
      <c r="B17" s="9">
        <v>2.74</v>
      </c>
      <c r="C17" s="26">
        <v>1</v>
      </c>
      <c r="E17" s="4" t="s">
        <v>45</v>
      </c>
      <c r="F17" s="9">
        <f>(6.65+6.59+6.02+5.52+4.46+6.48+5.42+12.5+6.55+6.2)/10</f>
        <v>6.6390000000000002</v>
      </c>
      <c r="G17" s="26">
        <v>10</v>
      </c>
      <c r="I17" s="6" t="s">
        <v>49</v>
      </c>
      <c r="J17" s="7">
        <v>4.03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(4.97+4.73+3.32+5.18+4.23+4.28+4.9+5.27+5.75+6.4+5.5+6.89+4.31+4.96+3.97+6.8+3.85+3.45+4.23+3.76+5.92+4.02+5.06+3.97+3.63)/25</f>
        <v>4.7739999999999991</v>
      </c>
      <c r="G18" s="26">
        <v>25</v>
      </c>
      <c r="I18" s="6" t="s">
        <v>52</v>
      </c>
      <c r="J18" s="7">
        <v>4.1399999999999997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(3.42+4.45+4.14+3.22)/4</f>
        <v>3.8075000000000001</v>
      </c>
      <c r="G19" s="25">
        <v>4</v>
      </c>
      <c r="I19" s="6" t="s">
        <v>55</v>
      </c>
      <c r="J19" s="7">
        <v>4.63</v>
      </c>
    </row>
    <row r="20" spans="1:10" x14ac:dyDescent="0.2">
      <c r="A20" s="4" t="s">
        <v>53</v>
      </c>
      <c r="B20" s="24">
        <f>(2.82+2.46+2.23+2.69)/4</f>
        <v>2.5499999999999998</v>
      </c>
      <c r="C20" s="30">
        <v>4</v>
      </c>
      <c r="E20" s="4" t="s">
        <v>54</v>
      </c>
      <c r="F20" s="5">
        <f>(3.85+2.62+2.91+2.59)/4</f>
        <v>2.9925000000000002</v>
      </c>
      <c r="G20" s="25">
        <v>4</v>
      </c>
      <c r="I20" s="6" t="s">
        <v>58</v>
      </c>
      <c r="J20" s="7">
        <v>4.0999999999999996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(4.7+5.67+4.97+4.28+6.11+4.12+3.95+4.17+4.31)/9</f>
        <v>4.6977777777777785</v>
      </c>
      <c r="G21" s="26">
        <v>9</v>
      </c>
      <c r="I21" s="6" t="s">
        <v>61</v>
      </c>
      <c r="J21" s="7">
        <v>4.88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64</v>
      </c>
      <c r="J22" s="7">
        <v>4.8099999999999996</v>
      </c>
    </row>
    <row r="23" spans="1:10" ht="15.75" customHeight="1" x14ac:dyDescent="0.2">
      <c r="A23" s="4" t="s">
        <v>62</v>
      </c>
      <c r="B23" s="5">
        <v>2.89</v>
      </c>
      <c r="C23" s="25">
        <v>1</v>
      </c>
      <c r="E23" s="4" t="s">
        <v>63</v>
      </c>
      <c r="F23" s="5" t="s">
        <v>14</v>
      </c>
      <c r="G23" s="25">
        <v>0</v>
      </c>
      <c r="I23" s="6" t="s">
        <v>67</v>
      </c>
      <c r="J23" s="7">
        <v>5.24</v>
      </c>
    </row>
    <row r="24" spans="1:10" ht="15.75" customHeight="1" x14ac:dyDescent="0.2">
      <c r="A24" s="4" t="s">
        <v>65</v>
      </c>
      <c r="B24" s="5" t="s">
        <v>14</v>
      </c>
      <c r="C24" s="25">
        <v>0</v>
      </c>
      <c r="E24" s="4" t="s">
        <v>66</v>
      </c>
      <c r="F24" s="5" t="s">
        <v>14</v>
      </c>
      <c r="G24" s="25">
        <v>0</v>
      </c>
      <c r="I24" s="6" t="s">
        <v>70</v>
      </c>
      <c r="J24" s="7">
        <v>5.2</v>
      </c>
    </row>
    <row r="25" spans="1:10" ht="15.75" customHeight="1" x14ac:dyDescent="0.2">
      <c r="A25" s="4" t="s">
        <v>68</v>
      </c>
      <c r="B25" s="9">
        <f>(6.87+3.57+6.95+6.31)/4</f>
        <v>5.9249999999999998</v>
      </c>
      <c r="C25" s="26">
        <v>4</v>
      </c>
      <c r="E25" s="4" t="s">
        <v>69</v>
      </c>
      <c r="F25" s="9">
        <f>(3.08+2.23)/2</f>
        <v>2.6550000000000002</v>
      </c>
      <c r="G25" s="26">
        <v>2</v>
      </c>
      <c r="I25" s="6" t="s">
        <v>73</v>
      </c>
      <c r="J25" s="7">
        <v>5.72</v>
      </c>
    </row>
    <row r="26" spans="1:10" ht="15.75" customHeight="1" x14ac:dyDescent="0.2">
      <c r="A26" s="4" t="s">
        <v>71</v>
      </c>
      <c r="B26" s="9" t="s">
        <v>14</v>
      </c>
      <c r="C26" s="26">
        <v>0</v>
      </c>
      <c r="E26" s="4" t="s">
        <v>72</v>
      </c>
      <c r="F26" s="9">
        <v>3.87</v>
      </c>
      <c r="G26" s="26">
        <v>1</v>
      </c>
      <c r="I26" s="6" t="s">
        <v>76</v>
      </c>
      <c r="J26" s="7">
        <v>5.2</v>
      </c>
    </row>
    <row r="27" spans="1:10" ht="15.75" customHeight="1" x14ac:dyDescent="0.2">
      <c r="A27" s="4" t="s">
        <v>74</v>
      </c>
      <c r="B27" s="5">
        <v>3.89</v>
      </c>
      <c r="C27" s="25">
        <v>1</v>
      </c>
      <c r="E27" s="4" t="s">
        <v>75</v>
      </c>
      <c r="F27" s="5">
        <f>(1.21+4.39+5.44+5.99+6.32+6.1+4.27)/7</f>
        <v>4.8171428571428567</v>
      </c>
      <c r="G27" s="25">
        <v>7</v>
      </c>
      <c r="I27" s="6" t="s">
        <v>79</v>
      </c>
      <c r="J27" s="7">
        <v>4.71</v>
      </c>
    </row>
    <row r="28" spans="1:10" ht="15.75" customHeight="1" x14ac:dyDescent="0.2">
      <c r="A28" s="4" t="s">
        <v>77</v>
      </c>
      <c r="B28" s="5">
        <f>(5.11+4.77+4.84+4.15+5.33+4.92)/6</f>
        <v>4.8533333333333326</v>
      </c>
      <c r="C28" s="25">
        <v>6</v>
      </c>
      <c r="E28" s="4" t="s">
        <v>78</v>
      </c>
      <c r="F28" s="5">
        <f>(5.52+4.92+5.75+0.45+5.3+5.46+5.35+5.02+4.01+5.1+4.73+4.13+4.2+2.96+4.5+4.6)/16</f>
        <v>4.5</v>
      </c>
      <c r="G28" s="25">
        <v>16</v>
      </c>
      <c r="I28" s="6" t="s">
        <v>82</v>
      </c>
      <c r="J28" s="7">
        <v>4.7</v>
      </c>
    </row>
    <row r="29" spans="1:10" ht="15.75" customHeight="1" x14ac:dyDescent="0.2">
      <c r="A29" s="4" t="s">
        <v>80</v>
      </c>
      <c r="B29" s="9">
        <f>(3.03+3.16)/2</f>
        <v>3.0949999999999998</v>
      </c>
      <c r="C29" s="26">
        <v>2</v>
      </c>
      <c r="E29" s="4" t="s">
        <v>81</v>
      </c>
      <c r="F29" s="9" t="s">
        <v>14</v>
      </c>
      <c r="G29" s="26">
        <v>0</v>
      </c>
      <c r="I29" s="6" t="s">
        <v>85</v>
      </c>
      <c r="J29" s="7">
        <v>5.68</v>
      </c>
    </row>
    <row r="30" spans="1:10" ht="15.75" customHeight="1" x14ac:dyDescent="0.2">
      <c r="A30" s="4" t="s">
        <v>83</v>
      </c>
      <c r="B30" s="9">
        <f>(2.97+4.38)/2</f>
        <v>3.6749999999999998</v>
      </c>
      <c r="C30" s="26">
        <v>2</v>
      </c>
      <c r="E30" s="4" t="s">
        <v>84</v>
      </c>
      <c r="F30" s="9">
        <v>3.32</v>
      </c>
      <c r="G30" s="26">
        <v>1</v>
      </c>
      <c r="I30" s="6" t="s">
        <v>88</v>
      </c>
      <c r="J30" s="7">
        <v>4.58</v>
      </c>
    </row>
    <row r="31" spans="1:10" ht="15.75" customHeight="1" x14ac:dyDescent="0.2">
      <c r="A31" s="4" t="s">
        <v>86</v>
      </c>
      <c r="B31" s="5">
        <f>(5.2+5.33)/2</f>
        <v>5.2650000000000006</v>
      </c>
      <c r="C31" s="25">
        <v>2</v>
      </c>
      <c r="E31" s="4" t="s">
        <v>87</v>
      </c>
      <c r="F31" s="5">
        <v>3.61</v>
      </c>
      <c r="G31" s="25">
        <v>1</v>
      </c>
      <c r="I31" s="6" t="s">
        <v>90</v>
      </c>
      <c r="J31" s="7">
        <v>4.83</v>
      </c>
    </row>
    <row r="32" spans="1:10" ht="15.75" customHeight="1" x14ac:dyDescent="0.2">
      <c r="A32" s="4" t="s">
        <v>64</v>
      </c>
      <c r="B32" s="5">
        <v>5.61</v>
      </c>
      <c r="C32" s="25">
        <v>1</v>
      </c>
      <c r="E32" s="4" t="s">
        <v>89</v>
      </c>
      <c r="F32" s="5">
        <f>(4.03+3.02+3.93+4.04+3.92+3.63)/6</f>
        <v>3.7616666666666663</v>
      </c>
      <c r="G32" s="25">
        <v>6</v>
      </c>
      <c r="I32" s="6" t="s">
        <v>93</v>
      </c>
      <c r="J32" s="7">
        <v>4.91</v>
      </c>
    </row>
    <row r="33" spans="1:10" ht="15.75" customHeight="1" x14ac:dyDescent="0.2">
      <c r="A33" s="4" t="s">
        <v>91</v>
      </c>
      <c r="B33" s="9" t="s">
        <v>14</v>
      </c>
      <c r="C33" s="26">
        <v>0</v>
      </c>
      <c r="E33" s="4" t="s">
        <v>92</v>
      </c>
      <c r="F33" s="9">
        <f>(6.21+1.2+6.12)/3</f>
        <v>4.5100000000000007</v>
      </c>
      <c r="G33" s="26">
        <v>3</v>
      </c>
      <c r="I33" s="6" t="s">
        <v>96</v>
      </c>
      <c r="J33" s="7">
        <v>4.91</v>
      </c>
    </row>
    <row r="34" spans="1:10" ht="15.75" customHeight="1" x14ac:dyDescent="0.2">
      <c r="A34" s="4" t="s">
        <v>94</v>
      </c>
      <c r="B34" s="9">
        <v>1.81</v>
      </c>
      <c r="C34" s="26">
        <v>1</v>
      </c>
      <c r="E34" s="4" t="s">
        <v>95</v>
      </c>
      <c r="F34" s="9">
        <v>4.38</v>
      </c>
      <c r="G34" s="26">
        <v>1</v>
      </c>
      <c r="I34" s="6" t="s">
        <v>99</v>
      </c>
      <c r="J34" s="7">
        <v>5.12</v>
      </c>
    </row>
    <row r="35" spans="1:10" ht="15.75" customHeight="1" x14ac:dyDescent="0.2">
      <c r="A35" s="4" t="s">
        <v>97</v>
      </c>
      <c r="B35" s="5" t="s">
        <v>14</v>
      </c>
      <c r="C35" s="25">
        <v>0</v>
      </c>
      <c r="E35" s="4" t="s">
        <v>98</v>
      </c>
      <c r="F35" s="5">
        <f>(3.22+2.92)/2</f>
        <v>3.0700000000000003</v>
      </c>
      <c r="G35" s="25">
        <v>2</v>
      </c>
      <c r="I35" s="6" t="s">
        <v>102</v>
      </c>
      <c r="J35" s="7">
        <v>4.9000000000000004</v>
      </c>
    </row>
    <row r="36" spans="1:10" ht="15.75" customHeight="1" x14ac:dyDescent="0.2">
      <c r="A36" s="4" t="s">
        <v>100</v>
      </c>
      <c r="B36" s="5" t="s">
        <v>14</v>
      </c>
      <c r="C36" s="25">
        <v>0</v>
      </c>
      <c r="E36" s="4" t="s">
        <v>101</v>
      </c>
      <c r="F36" s="5">
        <f>(4.65+5.3+7.01+4.28)/4</f>
        <v>5.3100000000000005</v>
      </c>
      <c r="G36" s="25">
        <v>4</v>
      </c>
      <c r="I36" s="6" t="s">
        <v>104</v>
      </c>
      <c r="J36" s="7">
        <v>4.34</v>
      </c>
    </row>
    <row r="37" spans="1:10" ht="15.75" customHeight="1" x14ac:dyDescent="0.2">
      <c r="A37" s="4" t="s">
        <v>103</v>
      </c>
      <c r="B37" s="9" t="s">
        <v>14</v>
      </c>
      <c r="C37" s="26">
        <v>0</v>
      </c>
      <c r="I37" s="6" t="s">
        <v>105</v>
      </c>
      <c r="J37" s="7">
        <v>5</v>
      </c>
    </row>
    <row r="38" spans="1:10" ht="15.75" customHeight="1" x14ac:dyDescent="0.2">
      <c r="I38" s="6" t="s">
        <v>106</v>
      </c>
      <c r="J38" s="7">
        <v>4.51</v>
      </c>
    </row>
    <row r="39" spans="1:10" ht="15.75" customHeight="1" x14ac:dyDescent="0.2">
      <c r="I39" s="6" t="s">
        <v>107</v>
      </c>
      <c r="J39" s="7">
        <v>5.05</v>
      </c>
    </row>
    <row r="40" spans="1:10" ht="15.75" customHeight="1" x14ac:dyDescent="0.2">
      <c r="I40" s="6" t="s">
        <v>108</v>
      </c>
      <c r="J40" s="7">
        <v>4.8</v>
      </c>
    </row>
    <row r="41" spans="1:10" ht="15.75" customHeight="1" x14ac:dyDescent="0.2">
      <c r="I41" s="6" t="s">
        <v>109</v>
      </c>
      <c r="J41" s="7">
        <v>5.0599999999999996</v>
      </c>
    </row>
    <row r="42" spans="1:10" ht="15.75" customHeight="1" x14ac:dyDescent="0.2">
      <c r="I42" s="6" t="s">
        <v>110</v>
      </c>
      <c r="J42" s="7">
        <v>4.9000000000000004</v>
      </c>
    </row>
    <row r="43" spans="1:10" ht="15.75" customHeight="1" x14ac:dyDescent="0.2">
      <c r="I43" s="6" t="s">
        <v>111</v>
      </c>
      <c r="J43" s="7">
        <v>5.48</v>
      </c>
    </row>
    <row r="44" spans="1:10" ht="15.75" customHeight="1" x14ac:dyDescent="0.2">
      <c r="I44" s="6" t="s">
        <v>112</v>
      </c>
      <c r="J44" s="7">
        <v>4.92</v>
      </c>
    </row>
    <row r="45" spans="1:10" ht="15.75" customHeight="1" x14ac:dyDescent="0.2">
      <c r="I45" s="6" t="s">
        <v>113</v>
      </c>
      <c r="J45" s="7">
        <v>4.2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132</v>
      </c>
      <c r="B2" s="32"/>
      <c r="C2" s="32"/>
      <c r="D2" s="32"/>
      <c r="E2" s="32"/>
      <c r="F2" s="32"/>
      <c r="G2" s="32"/>
      <c r="H2" s="32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133</v>
      </c>
    </row>
    <row r="4" spans="1:10" x14ac:dyDescent="0.2">
      <c r="A4" s="4" t="s">
        <v>4</v>
      </c>
      <c r="B4" s="7">
        <v>4.4800000000000004</v>
      </c>
      <c r="C4" s="6">
        <v>1</v>
      </c>
      <c r="E4" s="4" t="s">
        <v>5</v>
      </c>
      <c r="F4" s="5">
        <f>(3.3+1.41+2.01)/3</f>
        <v>2.2399999999999998</v>
      </c>
      <c r="G4" s="25">
        <v>3</v>
      </c>
      <c r="I4" s="6" t="s">
        <v>9</v>
      </c>
      <c r="J4" s="7">
        <v>4.7300000000000004</v>
      </c>
    </row>
    <row r="5" spans="1:10" x14ac:dyDescent="0.2">
      <c r="A5" s="4" t="s">
        <v>7</v>
      </c>
      <c r="B5" s="9">
        <f>(9.48+3.74+10.82+8.49+4.45+10.4+4.66+9+7.82+9.15+1.09+9.92+9.9+6.09+7.63+12.37+5.1+3.6+4.31+2.85+3.45+2.77+3.91+7.63+3.97+9.76+4.16+4.74+3.62+7.25+7.88+4.81+6.01+6.94+9.34+4.28+7.38+7.44+1.63+5.37+1.69+5.41+5.34+3.5)/45</f>
        <v>5.9811111111111108</v>
      </c>
      <c r="C5" s="26">
        <v>45</v>
      </c>
      <c r="E5" s="4" t="s">
        <v>8</v>
      </c>
      <c r="F5" s="9">
        <f>(5.84+3.45+1.83+5.16+4.01+1.59)/6</f>
        <v>3.6466666666666665</v>
      </c>
      <c r="G5" s="26">
        <v>6</v>
      </c>
      <c r="I5" s="6" t="s">
        <v>12</v>
      </c>
      <c r="J5" s="7">
        <v>4.9800000000000004</v>
      </c>
    </row>
    <row r="6" spans="1:10" x14ac:dyDescent="0.2">
      <c r="A6" s="4" t="s">
        <v>10</v>
      </c>
      <c r="B6" s="9">
        <f>(6.7+5.06)/2</f>
        <v>5.88</v>
      </c>
      <c r="C6" s="26">
        <v>2</v>
      </c>
      <c r="E6" s="4" t="s">
        <v>11</v>
      </c>
      <c r="F6" s="9">
        <f>(5.52+5.55+4.02+4.28+4.31+4.84+3.83+4.76+3.3+4.97+5.27+4.69+4.3+3.43+3.8)/15</f>
        <v>4.4579999999999993</v>
      </c>
      <c r="G6" s="26">
        <v>15</v>
      </c>
      <c r="I6" s="6" t="s">
        <v>16</v>
      </c>
      <c r="J6" s="7">
        <v>4.9000000000000004</v>
      </c>
    </row>
    <row r="7" spans="1:10" x14ac:dyDescent="0.2">
      <c r="A7" s="4" t="s">
        <v>13</v>
      </c>
      <c r="B7" s="5">
        <v>2.16</v>
      </c>
      <c r="C7" s="25">
        <v>1</v>
      </c>
      <c r="E7" s="4" t="s">
        <v>15</v>
      </c>
      <c r="F7" s="5">
        <v>4.12</v>
      </c>
      <c r="G7" s="25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5">
        <f>(4.52+4.19+4.36+1.08+3.67+5.19)/6</f>
        <v>3.8350000000000004</v>
      </c>
      <c r="C8" s="25">
        <v>6</v>
      </c>
      <c r="E8" s="4" t="s">
        <v>18</v>
      </c>
      <c r="F8" s="5">
        <f>(0.03+1.71+6.01+6.37+5.18+5.71+5.17+5.93+5.27)/9</f>
        <v>4.5977777777777771</v>
      </c>
      <c r="G8" s="25">
        <v>9</v>
      </c>
      <c r="I8" s="6" t="s">
        <v>22</v>
      </c>
      <c r="J8" s="7">
        <v>4.91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(3.6+5.41)/2</f>
        <v>4.5049999999999999</v>
      </c>
      <c r="G9" s="26">
        <v>2</v>
      </c>
      <c r="I9" s="6" t="s">
        <v>25</v>
      </c>
      <c r="J9" s="7">
        <v>5.27</v>
      </c>
    </row>
    <row r="10" spans="1:10" x14ac:dyDescent="0.2">
      <c r="A10" s="4" t="s">
        <v>23</v>
      </c>
      <c r="B10" s="9">
        <f>(4.65+8.03+7.07+5.98+5)/5</f>
        <v>6.1459999999999999</v>
      </c>
      <c r="C10" s="26">
        <v>5</v>
      </c>
      <c r="E10" s="4" t="s">
        <v>24</v>
      </c>
      <c r="F10" s="9">
        <f>(5.75+5.47+5.82+6.72+0)/5</f>
        <v>4.7519999999999998</v>
      </c>
      <c r="G10" s="26">
        <v>5</v>
      </c>
      <c r="I10" s="6" t="s">
        <v>28</v>
      </c>
      <c r="J10" s="7">
        <v>6.13</v>
      </c>
    </row>
    <row r="11" spans="1:10" x14ac:dyDescent="0.2">
      <c r="A11" s="4" t="s">
        <v>26</v>
      </c>
      <c r="B11" s="5">
        <f>(5.15+4.4+4.27)/3</f>
        <v>4.6066666666666665</v>
      </c>
      <c r="C11" s="25">
        <v>3</v>
      </c>
      <c r="E11" s="4" t="s">
        <v>27</v>
      </c>
      <c r="F11" s="5">
        <f>(5.9+5.63+2.8+5.01+5.75+5.24+5.12+0)/8</f>
        <v>4.4312500000000004</v>
      </c>
      <c r="G11" s="25">
        <v>8</v>
      </c>
      <c r="I11" s="6" t="s">
        <v>31</v>
      </c>
      <c r="J11" s="7">
        <v>5.51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5.2</v>
      </c>
    </row>
    <row r="13" spans="1:10" x14ac:dyDescent="0.2">
      <c r="A13" s="4" t="s">
        <v>32</v>
      </c>
      <c r="B13" s="9">
        <v>4.51</v>
      </c>
      <c r="C13" s="26">
        <v>1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4.72</v>
      </c>
    </row>
    <row r="14" spans="1:10" x14ac:dyDescent="0.2">
      <c r="A14" s="4" t="s">
        <v>35</v>
      </c>
      <c r="B14" s="9">
        <v>2.84</v>
      </c>
      <c r="C14" s="26">
        <v>1</v>
      </c>
      <c r="E14" s="4" t="s">
        <v>36</v>
      </c>
      <c r="F14" s="9">
        <f>(5.19+4.7+4.99+5.52+4.91+4.65+5.2+5.83+5.11+3.8+5.03+5+6.31+6.52+5.99+5.07+4.45+5.36+5.61+4.78+4.67+5.84+5.58+5.22+3.96+5.32+4.54+2.43+4.2+3.83)/30</f>
        <v>4.9869999999999992</v>
      </c>
      <c r="G14" s="26">
        <v>30</v>
      </c>
      <c r="I14" s="6" t="s">
        <v>40</v>
      </c>
      <c r="J14" s="7">
        <v>5.33</v>
      </c>
    </row>
    <row r="15" spans="1:10" x14ac:dyDescent="0.2">
      <c r="A15" s="4" t="s">
        <v>38</v>
      </c>
      <c r="B15" s="5">
        <v>3.54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6.83</v>
      </c>
    </row>
    <row r="16" spans="1:10" x14ac:dyDescent="0.2">
      <c r="A16" s="4" t="s">
        <v>41</v>
      </c>
      <c r="B16" s="5">
        <f>(6.04+6.27+5.41)/3</f>
        <v>5.9066666666666663</v>
      </c>
      <c r="C16" s="25">
        <v>3</v>
      </c>
      <c r="E16" s="4" t="s">
        <v>42</v>
      </c>
      <c r="F16" s="5">
        <v>4.45</v>
      </c>
      <c r="G16" s="25">
        <v>1</v>
      </c>
      <c r="I16" s="6" t="s">
        <v>46</v>
      </c>
      <c r="J16" s="7">
        <v>5.03</v>
      </c>
    </row>
    <row r="17" spans="1:10" x14ac:dyDescent="0.2">
      <c r="A17" s="4" t="s">
        <v>44</v>
      </c>
      <c r="B17" s="9">
        <v>2.67</v>
      </c>
      <c r="C17" s="26">
        <v>1</v>
      </c>
      <c r="E17" s="4" t="s">
        <v>45</v>
      </c>
      <c r="F17" s="9">
        <f>(4.37+4.44+4.32+4.31+4.66+4.53+4.13+9.9+4.36+4.84)/10</f>
        <v>4.9859999999999998</v>
      </c>
      <c r="G17" s="26">
        <v>10</v>
      </c>
      <c r="I17" s="6" t="s">
        <v>49</v>
      </c>
      <c r="J17" s="7">
        <v>4.09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(9+8.62+9.47+10.05+9.66+10.47+10.58+9.66+8.15+12.06+8.31+7.38+10.14+9.34+9.06+9.95+9.63+10.93+10.95+9.99+7.96+10.38+9.75+10.53+8.7)/25</f>
        <v>9.6287999999999982</v>
      </c>
      <c r="G18" s="26">
        <v>25</v>
      </c>
      <c r="I18" s="6" t="s">
        <v>52</v>
      </c>
      <c r="J18" s="7">
        <v>4.87</v>
      </c>
    </row>
    <row r="19" spans="1:10" x14ac:dyDescent="0.2">
      <c r="A19" s="4" t="s">
        <v>50</v>
      </c>
      <c r="B19" s="24" t="s">
        <v>14</v>
      </c>
      <c r="C19" s="30">
        <v>0</v>
      </c>
      <c r="E19" s="4" t="s">
        <v>51</v>
      </c>
      <c r="F19" s="5">
        <f>(10.02+9.95+7.75+8.91)/4</f>
        <v>9.1574999999999989</v>
      </c>
      <c r="G19" s="25">
        <v>4</v>
      </c>
      <c r="I19" s="6" t="s">
        <v>55</v>
      </c>
      <c r="J19" s="7">
        <v>4.3499999999999996</v>
      </c>
    </row>
    <row r="20" spans="1:10" x14ac:dyDescent="0.2">
      <c r="A20" s="4" t="s">
        <v>53</v>
      </c>
      <c r="B20" s="24">
        <v>4.76</v>
      </c>
      <c r="C20" s="30">
        <v>4</v>
      </c>
      <c r="E20" s="4" t="s">
        <v>54</v>
      </c>
      <c r="F20" s="5">
        <f>(6.85+4.21+4.49+4.79)/4</f>
        <v>5.085</v>
      </c>
      <c r="G20" s="25">
        <v>4</v>
      </c>
      <c r="I20" s="6" t="s">
        <v>58</v>
      </c>
      <c r="J20" s="7">
        <v>4.49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(3.82+4.95+5.1+4.27+4.19+4.43+4.93+3.93+0.63+4.35)/10</f>
        <v>4.0600000000000005</v>
      </c>
      <c r="G21" s="26">
        <v>10</v>
      </c>
      <c r="I21" s="6" t="s">
        <v>61</v>
      </c>
      <c r="J21" s="7">
        <v>5.0599999999999996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64</v>
      </c>
      <c r="J22" s="7">
        <v>5.08</v>
      </c>
    </row>
    <row r="23" spans="1:10" ht="15.75" customHeight="1" x14ac:dyDescent="0.2">
      <c r="A23" s="4" t="s">
        <v>62</v>
      </c>
      <c r="B23" s="5">
        <v>8.4600000000000009</v>
      </c>
      <c r="C23" s="25">
        <v>1</v>
      </c>
      <c r="E23" s="4" t="s">
        <v>63</v>
      </c>
      <c r="F23" s="5" t="s">
        <v>14</v>
      </c>
      <c r="G23" s="25">
        <v>0</v>
      </c>
      <c r="I23" s="6" t="s">
        <v>67</v>
      </c>
      <c r="J23" s="7">
        <v>4.7300000000000004</v>
      </c>
    </row>
    <row r="24" spans="1:10" ht="15.75" customHeight="1" x14ac:dyDescent="0.2">
      <c r="A24" s="4" t="s">
        <v>65</v>
      </c>
      <c r="B24" s="5" t="s">
        <v>14</v>
      </c>
      <c r="C24" s="25">
        <v>0</v>
      </c>
      <c r="E24" s="4" t="s">
        <v>66</v>
      </c>
      <c r="F24" s="5" t="s">
        <v>14</v>
      </c>
      <c r="G24" s="25">
        <v>0</v>
      </c>
      <c r="I24" s="6" t="s">
        <v>70</v>
      </c>
      <c r="J24" s="7">
        <v>4.66</v>
      </c>
    </row>
    <row r="25" spans="1:10" ht="15.75" customHeight="1" x14ac:dyDescent="0.2">
      <c r="A25" s="4" t="s">
        <v>68</v>
      </c>
      <c r="B25" s="9">
        <f>(5.58+3.41+5.92+5.74)/4</f>
        <v>5.1624999999999996</v>
      </c>
      <c r="C25" s="26">
        <v>4</v>
      </c>
      <c r="E25" s="4" t="s">
        <v>69</v>
      </c>
      <c r="F25" s="9">
        <f>(3.81+2.46)/2</f>
        <v>3.1349999999999998</v>
      </c>
      <c r="G25" s="26">
        <v>2</v>
      </c>
      <c r="I25" s="6" t="s">
        <v>73</v>
      </c>
      <c r="J25" s="7">
        <v>6.18</v>
      </c>
    </row>
    <row r="26" spans="1:10" ht="15.75" customHeight="1" x14ac:dyDescent="0.2">
      <c r="A26" s="4" t="s">
        <v>71</v>
      </c>
      <c r="B26" s="9" t="s">
        <v>14</v>
      </c>
      <c r="C26" s="26">
        <v>0</v>
      </c>
      <c r="E26" s="4" t="s">
        <v>72</v>
      </c>
      <c r="F26" s="9">
        <v>6.58</v>
      </c>
      <c r="G26" s="26">
        <v>1</v>
      </c>
      <c r="I26" s="6" t="s">
        <v>76</v>
      </c>
      <c r="J26" s="7">
        <v>6.08</v>
      </c>
    </row>
    <row r="27" spans="1:10" ht="15.75" customHeight="1" x14ac:dyDescent="0.2">
      <c r="A27" s="4" t="s">
        <v>74</v>
      </c>
      <c r="B27" s="5">
        <v>3.41</v>
      </c>
      <c r="C27" s="25">
        <v>1</v>
      </c>
      <c r="E27" s="4" t="s">
        <v>75</v>
      </c>
      <c r="F27" s="5">
        <f>(3.12+2.38+5.46+5.31+4.65+4.03+5.32)/7</f>
        <v>4.3242857142857147</v>
      </c>
      <c r="G27" s="25">
        <v>7</v>
      </c>
      <c r="I27" s="6" t="s">
        <v>79</v>
      </c>
      <c r="J27" s="7">
        <v>4.72</v>
      </c>
    </row>
    <row r="28" spans="1:10" ht="15.75" customHeight="1" x14ac:dyDescent="0.2">
      <c r="A28" s="4" t="s">
        <v>77</v>
      </c>
      <c r="B28" s="5">
        <f>(4.43+3.61+4.42+4.47+4.05+1.13)/6</f>
        <v>3.6850000000000001</v>
      </c>
      <c r="C28" s="25">
        <v>6</v>
      </c>
      <c r="E28" s="4" t="s">
        <v>78</v>
      </c>
      <c r="F28" s="5">
        <f>(3.73+4.02+4.31+8.8+3.69+4.31+4.08+6.11+3.09+3.37+3.87+5.84+2.99+3.67+2.85)/15</f>
        <v>4.3153333333333332</v>
      </c>
      <c r="G28" s="25">
        <v>15</v>
      </c>
      <c r="I28" s="6" t="s">
        <v>82</v>
      </c>
      <c r="J28" s="7">
        <v>4.3</v>
      </c>
    </row>
    <row r="29" spans="1:10" ht="15.75" customHeight="1" x14ac:dyDescent="0.2">
      <c r="A29" s="4" t="s">
        <v>80</v>
      </c>
      <c r="B29" s="9">
        <f>(4.39+5+3.08)/3</f>
        <v>4.1566666666666672</v>
      </c>
      <c r="C29" s="26">
        <v>3</v>
      </c>
      <c r="E29" s="4" t="s">
        <v>81</v>
      </c>
      <c r="F29" s="9" t="s">
        <v>14</v>
      </c>
      <c r="G29" s="26">
        <v>0</v>
      </c>
      <c r="I29" s="6" t="s">
        <v>85</v>
      </c>
      <c r="J29" s="7">
        <v>5.68</v>
      </c>
    </row>
    <row r="30" spans="1:10" ht="15.75" customHeight="1" x14ac:dyDescent="0.2">
      <c r="A30" s="4" t="s">
        <v>83</v>
      </c>
      <c r="B30" s="9">
        <f>(6.21+7.8)/2</f>
        <v>7.0049999999999999</v>
      </c>
      <c r="C30" s="26">
        <v>2</v>
      </c>
      <c r="E30" s="4" t="s">
        <v>84</v>
      </c>
      <c r="F30" s="9">
        <f>(2.63+1.72)/2</f>
        <v>2.1749999999999998</v>
      </c>
      <c r="G30" s="26">
        <v>2</v>
      </c>
      <c r="I30" s="6" t="s">
        <v>88</v>
      </c>
      <c r="J30" s="7">
        <v>4.8499999999999996</v>
      </c>
    </row>
    <row r="31" spans="1:10" ht="15.75" customHeight="1" x14ac:dyDescent="0.2">
      <c r="A31" s="4" t="s">
        <v>86</v>
      </c>
      <c r="B31" s="5">
        <f>(5.01+5.03)/2</f>
        <v>5.0199999999999996</v>
      </c>
      <c r="C31" s="25">
        <v>2</v>
      </c>
      <c r="E31" s="4" t="s">
        <v>87</v>
      </c>
      <c r="F31" s="5">
        <v>3.24</v>
      </c>
      <c r="G31" s="25">
        <v>1</v>
      </c>
      <c r="I31" s="6" t="s">
        <v>90</v>
      </c>
      <c r="J31" s="7">
        <v>4.8600000000000003</v>
      </c>
    </row>
    <row r="32" spans="1:10" ht="15.75" customHeight="1" x14ac:dyDescent="0.2">
      <c r="A32" s="4" t="s">
        <v>64</v>
      </c>
      <c r="B32" s="5">
        <v>5.07</v>
      </c>
      <c r="C32" s="25">
        <v>1</v>
      </c>
      <c r="E32" s="4" t="s">
        <v>89</v>
      </c>
      <c r="F32" s="5">
        <f>(4.85+5.38+4.45+5.1+5.62+5.53)/6</f>
        <v>5.1550000000000002</v>
      </c>
      <c r="G32" s="25">
        <v>6</v>
      </c>
      <c r="I32" s="6" t="s">
        <v>93</v>
      </c>
      <c r="J32" s="7">
        <v>7.58</v>
      </c>
    </row>
    <row r="33" spans="1:10" ht="15.75" customHeight="1" x14ac:dyDescent="0.2">
      <c r="A33" s="4" t="s">
        <v>91</v>
      </c>
      <c r="B33" s="9" t="s">
        <v>14</v>
      </c>
      <c r="C33" s="26">
        <v>0</v>
      </c>
      <c r="E33" s="4" t="s">
        <v>92</v>
      </c>
      <c r="F33" s="9">
        <f>(6+5.5)/2</f>
        <v>5.75</v>
      </c>
      <c r="G33" s="26">
        <v>2</v>
      </c>
      <c r="I33" s="6" t="s">
        <v>96</v>
      </c>
      <c r="J33" s="7">
        <v>4.45</v>
      </c>
    </row>
    <row r="34" spans="1:10" ht="15.75" customHeight="1" x14ac:dyDescent="0.2">
      <c r="A34" s="4" t="s">
        <v>94</v>
      </c>
      <c r="B34" s="9" t="s">
        <v>14</v>
      </c>
      <c r="C34" s="26">
        <v>0</v>
      </c>
      <c r="E34" s="4" t="s">
        <v>95</v>
      </c>
      <c r="F34" s="9">
        <v>6.32</v>
      </c>
      <c r="G34" s="26">
        <v>1</v>
      </c>
      <c r="I34" s="6" t="s">
        <v>99</v>
      </c>
      <c r="J34" s="7">
        <v>6.03</v>
      </c>
    </row>
    <row r="35" spans="1:10" ht="15.75" customHeight="1" x14ac:dyDescent="0.2">
      <c r="A35" s="4" t="s">
        <v>97</v>
      </c>
      <c r="B35" s="5" t="s">
        <v>14</v>
      </c>
      <c r="C35" s="25">
        <v>0</v>
      </c>
      <c r="E35" s="4" t="s">
        <v>98</v>
      </c>
      <c r="F35" s="5">
        <f>(4.32+5.46)/2</f>
        <v>4.8900000000000006</v>
      </c>
      <c r="G35" s="25">
        <v>2</v>
      </c>
      <c r="I35" s="6" t="s">
        <v>102</v>
      </c>
      <c r="J35" s="7">
        <v>5.09</v>
      </c>
    </row>
    <row r="36" spans="1:10" ht="15.75" customHeight="1" x14ac:dyDescent="0.2">
      <c r="A36" s="4" t="s">
        <v>100</v>
      </c>
      <c r="B36" s="5" t="s">
        <v>14</v>
      </c>
      <c r="C36" s="25">
        <v>0</v>
      </c>
      <c r="E36" s="4" t="s">
        <v>101</v>
      </c>
      <c r="F36" s="5">
        <f>(4.69+4.74+4.93+4.64)/4</f>
        <v>4.75</v>
      </c>
      <c r="G36" s="25">
        <v>4</v>
      </c>
      <c r="I36" s="6" t="s">
        <v>104</v>
      </c>
      <c r="J36" s="7">
        <v>4.91</v>
      </c>
    </row>
    <row r="37" spans="1:10" ht="15.75" customHeight="1" x14ac:dyDescent="0.2">
      <c r="A37" s="4" t="s">
        <v>103</v>
      </c>
      <c r="B37" s="9" t="s">
        <v>14</v>
      </c>
      <c r="C37" s="26">
        <v>0</v>
      </c>
      <c r="I37" s="6" t="s">
        <v>105</v>
      </c>
      <c r="J37" s="7">
        <v>5.49</v>
      </c>
    </row>
    <row r="38" spans="1:10" ht="15.75" customHeight="1" x14ac:dyDescent="0.2">
      <c r="I38" s="6" t="s">
        <v>106</v>
      </c>
      <c r="J38" s="7">
        <v>5.14</v>
      </c>
    </row>
    <row r="39" spans="1:10" ht="15.75" customHeight="1" x14ac:dyDescent="0.2">
      <c r="I39" s="6" t="s">
        <v>107</v>
      </c>
      <c r="J39" s="7">
        <v>5.07</v>
      </c>
    </row>
    <row r="40" spans="1:10" ht="15.75" customHeight="1" x14ac:dyDescent="0.2">
      <c r="I40" s="6" t="s">
        <v>108</v>
      </c>
      <c r="J40" s="7">
        <v>4.8499999999999996</v>
      </c>
    </row>
    <row r="41" spans="1:10" ht="15.75" customHeight="1" x14ac:dyDescent="0.2">
      <c r="I41" s="6" t="s">
        <v>109</v>
      </c>
      <c r="J41" s="7">
        <v>4.67</v>
      </c>
    </row>
    <row r="42" spans="1:10" ht="15.75" customHeight="1" x14ac:dyDescent="0.2">
      <c r="I42" s="6" t="s">
        <v>110</v>
      </c>
      <c r="J42" s="7">
        <v>5.1100000000000003</v>
      </c>
    </row>
    <row r="43" spans="1:10" ht="15.75" customHeight="1" x14ac:dyDescent="0.2">
      <c r="I43" s="6" t="s">
        <v>111</v>
      </c>
      <c r="J43" s="7">
        <v>5.56</v>
      </c>
    </row>
    <row r="44" spans="1:10" ht="15.75" customHeight="1" x14ac:dyDescent="0.2">
      <c r="I44" s="6" t="s">
        <v>112</v>
      </c>
      <c r="J44" s="7">
        <v>4.8499999999999996</v>
      </c>
    </row>
    <row r="45" spans="1:10" ht="15.75" customHeight="1" x14ac:dyDescent="0.2">
      <c r="I45" s="6" t="s">
        <v>113</v>
      </c>
      <c r="J45" s="7">
        <v>4.74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6.3320312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114</v>
      </c>
      <c r="B2" s="32"/>
      <c r="C2" s="32"/>
      <c r="D2" s="32"/>
      <c r="E2" s="32"/>
      <c r="F2" s="32"/>
      <c r="G2" s="32"/>
      <c r="H2" s="32"/>
    </row>
    <row r="3" spans="1:10" ht="14.25" customHeight="1" x14ac:dyDescent="0.2">
      <c r="B3" s="3" t="s">
        <v>2</v>
      </c>
      <c r="C3" s="1" t="s">
        <v>3</v>
      </c>
      <c r="F3" s="3" t="s">
        <v>2</v>
      </c>
      <c r="G3" s="1" t="s">
        <v>3</v>
      </c>
    </row>
    <row r="4" spans="1:10" ht="27.75" customHeight="1" x14ac:dyDescent="0.2">
      <c r="A4" s="4" t="s">
        <v>4</v>
      </c>
      <c r="B4" s="15">
        <v>5.72</v>
      </c>
      <c r="C4" s="16">
        <v>1</v>
      </c>
      <c r="E4" s="4" t="s">
        <v>5</v>
      </c>
      <c r="F4" s="17">
        <f>(4.27+3.16+3.33)/3</f>
        <v>3.5866666666666664</v>
      </c>
      <c r="G4" s="16">
        <v>3</v>
      </c>
      <c r="I4" s="8" t="s">
        <v>115</v>
      </c>
    </row>
    <row r="5" spans="1:10" x14ac:dyDescent="0.2">
      <c r="A5" s="4" t="s">
        <v>7</v>
      </c>
      <c r="B5" s="18">
        <f>(5.52+4.89+3.69+4.04+4.47+2.22+3.69+5.42+4.2+3.58+3.43+4.09+3.15+3.78+3.68+5.31+3.58+3.04+3.36+3.42+3.46+3.69+3.8+5.65+3.98+4.37+4.66+3.37+3.01+4.24+5.49+3.22+2.99+3.8+3.29+3.31+3.69+3.93+4.66+3.38+3.12+3.17+3.82)/43</f>
        <v>3.8758139534883722</v>
      </c>
      <c r="C5" s="19">
        <v>43</v>
      </c>
      <c r="E5" s="4" t="s">
        <v>8</v>
      </c>
      <c r="F5" s="18">
        <f>(5.89+6.22+6.92+2.96+6.57+6.99)/6</f>
        <v>5.9250000000000007</v>
      </c>
      <c r="G5" s="19">
        <v>6</v>
      </c>
      <c r="I5" s="6" t="s">
        <v>9</v>
      </c>
      <c r="J5" s="7">
        <v>5.12</v>
      </c>
    </row>
    <row r="6" spans="1:10" x14ac:dyDescent="0.2">
      <c r="A6" s="4" t="s">
        <v>10</v>
      </c>
      <c r="B6" s="18">
        <v>3.75</v>
      </c>
      <c r="C6" s="19">
        <v>1</v>
      </c>
      <c r="E6" s="4" t="s">
        <v>11</v>
      </c>
      <c r="F6" s="18">
        <f>(4.57+2.29+4.78+4.89+1.41+3.92+3.81+3.98+4.51+4.94+4.51+4.45+5.51+3.26+4.84)/15</f>
        <v>4.1113333333333326</v>
      </c>
      <c r="G6" s="19">
        <v>15</v>
      </c>
      <c r="I6" s="6" t="s">
        <v>12</v>
      </c>
      <c r="J6" s="7">
        <v>5.0599999999999996</v>
      </c>
    </row>
    <row r="7" spans="1:10" x14ac:dyDescent="0.2">
      <c r="A7" s="4" t="s">
        <v>13</v>
      </c>
      <c r="B7" s="15" t="s">
        <v>14</v>
      </c>
      <c r="C7" s="16">
        <v>0</v>
      </c>
      <c r="E7" s="4" t="s">
        <v>15</v>
      </c>
      <c r="F7" s="17">
        <v>4.18</v>
      </c>
      <c r="G7" s="16">
        <v>1</v>
      </c>
      <c r="I7" s="6" t="s">
        <v>16</v>
      </c>
      <c r="J7" s="7">
        <v>5.12</v>
      </c>
    </row>
    <row r="8" spans="1:10" x14ac:dyDescent="0.2">
      <c r="A8" s="4" t="s">
        <v>17</v>
      </c>
      <c r="B8" s="15">
        <f>(4.64+4.87+4.53+4.43+4.67+4.94)/6</f>
        <v>4.6800000000000006</v>
      </c>
      <c r="C8" s="16">
        <v>6</v>
      </c>
      <c r="E8" s="4" t="s">
        <v>18</v>
      </c>
      <c r="F8" s="17">
        <f>(5.27+6.99+5.93+5.52+4.94+5.5+3.28)/7</f>
        <v>5.347142857142857</v>
      </c>
      <c r="G8" s="16">
        <v>7</v>
      </c>
      <c r="I8" s="6" t="s">
        <v>19</v>
      </c>
      <c r="J8" s="7">
        <v>5.18</v>
      </c>
    </row>
    <row r="9" spans="1:10" x14ac:dyDescent="0.2">
      <c r="A9" s="4" t="s">
        <v>20</v>
      </c>
      <c r="B9" s="18" t="s">
        <v>14</v>
      </c>
      <c r="C9" s="19">
        <v>0</v>
      </c>
      <c r="E9" s="4" t="s">
        <v>21</v>
      </c>
      <c r="F9" s="18">
        <f>(5.82+6.44)/2</f>
        <v>6.1300000000000008</v>
      </c>
      <c r="G9" s="19">
        <v>2</v>
      </c>
      <c r="I9" s="6" t="s">
        <v>22</v>
      </c>
      <c r="J9" s="7">
        <v>5.09</v>
      </c>
    </row>
    <row r="10" spans="1:10" x14ac:dyDescent="0.2">
      <c r="A10" s="4" t="s">
        <v>23</v>
      </c>
      <c r="B10" s="18">
        <f>(2.79+3.17+2.57+2.91+2.98)/5</f>
        <v>2.8839999999999999</v>
      </c>
      <c r="C10" s="19">
        <v>5</v>
      </c>
      <c r="E10" s="4" t="s">
        <v>24</v>
      </c>
      <c r="F10" s="18">
        <f>(3.09+4.95+4.54+4.09)/4</f>
        <v>4.1674999999999995</v>
      </c>
      <c r="G10" s="19">
        <v>4</v>
      </c>
      <c r="I10" s="6" t="s">
        <v>25</v>
      </c>
      <c r="J10" s="7">
        <v>5.63</v>
      </c>
    </row>
    <row r="11" spans="1:10" x14ac:dyDescent="0.2">
      <c r="A11" s="4" t="s">
        <v>26</v>
      </c>
      <c r="B11" s="15">
        <f>(6.46+5.03+4.74)/3</f>
        <v>5.41</v>
      </c>
      <c r="C11" s="16">
        <v>3</v>
      </c>
      <c r="E11" s="4" t="s">
        <v>27</v>
      </c>
      <c r="F11" s="17">
        <f>(6.79+5.97+5.84+6.26+6.75+6.28+5.03+4.24+6.1)/9</f>
        <v>5.9177777777777782</v>
      </c>
      <c r="G11" s="16">
        <v>9</v>
      </c>
      <c r="I11" s="6" t="s">
        <v>28</v>
      </c>
      <c r="J11" s="7">
        <v>5.51</v>
      </c>
    </row>
    <row r="12" spans="1:10" x14ac:dyDescent="0.2">
      <c r="A12" s="4" t="s">
        <v>29</v>
      </c>
      <c r="B12" s="15" t="s">
        <v>14</v>
      </c>
      <c r="C12" s="16">
        <v>1</v>
      </c>
      <c r="E12" s="4" t="s">
        <v>30</v>
      </c>
      <c r="F12" s="17" t="s">
        <v>14</v>
      </c>
      <c r="G12" s="16">
        <v>0</v>
      </c>
      <c r="I12" s="6" t="s">
        <v>31</v>
      </c>
      <c r="J12" s="7">
        <v>5.18</v>
      </c>
    </row>
    <row r="13" spans="1:10" x14ac:dyDescent="0.2">
      <c r="A13" s="4" t="s">
        <v>32</v>
      </c>
      <c r="B13" s="18">
        <v>4.7699999999999996</v>
      </c>
      <c r="C13" s="19">
        <v>1</v>
      </c>
      <c r="E13" s="4" t="s">
        <v>33</v>
      </c>
      <c r="F13" s="18" t="s">
        <v>14</v>
      </c>
      <c r="G13" s="19">
        <v>0</v>
      </c>
      <c r="I13" s="6" t="s">
        <v>34</v>
      </c>
      <c r="J13" s="7">
        <v>4.8499999999999996</v>
      </c>
    </row>
    <row r="14" spans="1:10" x14ac:dyDescent="0.2">
      <c r="A14" s="4" t="s">
        <v>35</v>
      </c>
      <c r="B14" s="18">
        <v>6.94</v>
      </c>
      <c r="C14" s="19">
        <v>1</v>
      </c>
      <c r="E14" s="4" t="s">
        <v>36</v>
      </c>
      <c r="F14" s="18">
        <f>(6.21+6.2+6.58+5.8+5.68+5.81+5.91+6.36+5.43+6.3+5.89+5.64+6.39+5.8+6.36+6+5.82+6.5+4.9+4.79+6.62+5.67+5.42+6.01+6.04+5.68+1.08+6.02+5.94+0.96+6.79+1.03)/32</f>
        <v>5.4884374999999999</v>
      </c>
      <c r="G14" s="19">
        <v>32</v>
      </c>
      <c r="I14" s="6" t="s">
        <v>37</v>
      </c>
      <c r="J14" s="7">
        <v>5.24</v>
      </c>
    </row>
    <row r="15" spans="1:10" x14ac:dyDescent="0.2">
      <c r="A15" s="4" t="s">
        <v>38</v>
      </c>
      <c r="B15" s="15">
        <v>3.62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40</v>
      </c>
      <c r="J15" s="7">
        <v>5.42</v>
      </c>
    </row>
    <row r="16" spans="1:10" x14ac:dyDescent="0.2">
      <c r="A16" s="4" t="s">
        <v>41</v>
      </c>
      <c r="B16" s="15">
        <f>(2.91+4.71+4.98)/3</f>
        <v>4.2</v>
      </c>
      <c r="C16" s="16">
        <v>3</v>
      </c>
      <c r="E16" s="4" t="s">
        <v>42</v>
      </c>
      <c r="F16" s="17">
        <v>6.36</v>
      </c>
      <c r="G16" s="16">
        <v>1</v>
      </c>
      <c r="I16" s="6" t="s">
        <v>43</v>
      </c>
      <c r="J16" s="7">
        <v>5.66</v>
      </c>
    </row>
    <row r="17" spans="1:10" x14ac:dyDescent="0.2">
      <c r="A17" s="4" t="s">
        <v>44</v>
      </c>
      <c r="B17" s="18">
        <v>6.63</v>
      </c>
      <c r="C17" s="19">
        <v>1</v>
      </c>
      <c r="E17" s="4" t="s">
        <v>45</v>
      </c>
      <c r="F17" s="18">
        <f>(6.02+5.72+6.04+5.6+5.45+5.96+5.78+11+5.27+5.91)/10</f>
        <v>6.2749999999999986</v>
      </c>
      <c r="G17" s="19">
        <v>10</v>
      </c>
      <c r="I17" s="6" t="s">
        <v>46</v>
      </c>
      <c r="J17" s="7">
        <v>4.95</v>
      </c>
    </row>
    <row r="18" spans="1:10" x14ac:dyDescent="0.2">
      <c r="A18" s="4" t="s">
        <v>47</v>
      </c>
      <c r="B18" s="18" t="s">
        <v>14</v>
      </c>
      <c r="C18" s="19">
        <v>0</v>
      </c>
      <c r="E18" s="4" t="s">
        <v>48</v>
      </c>
      <c r="F18" s="18">
        <f>(2.73+3.44+3.7+3.03+3.16+2.68+2.65+4+3.88+4.21+5.01+3.28+3.1+2.88+3.02+3.1+3.02+5.05+2.95+2.52+3.19+2.86)/22</f>
        <v>3.3390909090909089</v>
      </c>
      <c r="G18" s="19">
        <v>22</v>
      </c>
      <c r="I18" s="6" t="s">
        <v>49</v>
      </c>
      <c r="J18" s="7">
        <v>4.7300000000000004</v>
      </c>
    </row>
    <row r="19" spans="1:10" x14ac:dyDescent="0.2">
      <c r="A19" s="4" t="s">
        <v>50</v>
      </c>
      <c r="B19" s="15" t="s">
        <v>14</v>
      </c>
      <c r="C19" s="16">
        <v>0</v>
      </c>
      <c r="E19" s="4" t="s">
        <v>51</v>
      </c>
      <c r="F19" s="17">
        <f>(4.03+3.45+3.74+3.1)/4</f>
        <v>3.58</v>
      </c>
      <c r="G19" s="16">
        <v>4</v>
      </c>
      <c r="I19" s="6" t="s">
        <v>52</v>
      </c>
      <c r="J19" s="7">
        <v>5.37</v>
      </c>
    </row>
    <row r="20" spans="1:10" x14ac:dyDescent="0.2">
      <c r="A20" s="4" t="s">
        <v>53</v>
      </c>
      <c r="B20" s="15">
        <f>(5.09+5.43+5.43+5.06)/4</f>
        <v>5.2524999999999995</v>
      </c>
      <c r="C20" s="16">
        <v>4</v>
      </c>
      <c r="E20" s="4" t="s">
        <v>54</v>
      </c>
      <c r="F20" s="17">
        <f>(3.94+2.26+2.96+2.95)/4</f>
        <v>3.0274999999999999</v>
      </c>
      <c r="G20" s="16">
        <v>4</v>
      </c>
      <c r="I20" s="6" t="s">
        <v>55</v>
      </c>
      <c r="J20" s="7">
        <v>5.19</v>
      </c>
    </row>
    <row r="21" spans="1:10" ht="15.75" customHeight="1" x14ac:dyDescent="0.2">
      <c r="A21" s="4" t="s">
        <v>56</v>
      </c>
      <c r="B21" s="18" t="s">
        <v>14</v>
      </c>
      <c r="C21" s="19">
        <v>0</v>
      </c>
      <c r="E21" s="4" t="s">
        <v>57</v>
      </c>
      <c r="F21" s="18">
        <f>(4.13+6.97+6.15+6.64+0.12+6.31+5.95+5.13+5.61)/9</f>
        <v>5.2233333333333336</v>
      </c>
      <c r="G21" s="19">
        <v>9</v>
      </c>
      <c r="I21" s="6" t="s">
        <v>58</v>
      </c>
      <c r="J21" s="7">
        <v>4.3600000000000003</v>
      </c>
    </row>
    <row r="22" spans="1:10" ht="15.75" customHeight="1" x14ac:dyDescent="0.2">
      <c r="A22" s="4" t="s">
        <v>59</v>
      </c>
      <c r="B22" s="18" t="s">
        <v>14</v>
      </c>
      <c r="C22" s="19">
        <v>0</v>
      </c>
      <c r="E22" s="4" t="s">
        <v>60</v>
      </c>
      <c r="F22" s="18" t="s">
        <v>14</v>
      </c>
      <c r="G22" s="19">
        <v>0</v>
      </c>
      <c r="I22" s="6" t="s">
        <v>61</v>
      </c>
      <c r="J22" s="7">
        <v>5.57</v>
      </c>
    </row>
    <row r="23" spans="1:10" ht="15.75" customHeight="1" x14ac:dyDescent="0.2">
      <c r="A23" s="4" t="s">
        <v>62</v>
      </c>
      <c r="B23" s="15">
        <v>5.05</v>
      </c>
      <c r="C23" s="16">
        <v>1</v>
      </c>
      <c r="E23" s="4" t="s">
        <v>63</v>
      </c>
      <c r="F23" s="17" t="s">
        <v>14</v>
      </c>
      <c r="G23" s="16">
        <v>0</v>
      </c>
      <c r="I23" s="6" t="s">
        <v>64</v>
      </c>
      <c r="J23" s="7">
        <v>5.75</v>
      </c>
    </row>
    <row r="24" spans="1:10" ht="15.75" customHeight="1" x14ac:dyDescent="0.2">
      <c r="A24" s="4" t="s">
        <v>65</v>
      </c>
      <c r="B24" s="15" t="s">
        <v>14</v>
      </c>
      <c r="C24" s="16">
        <v>0</v>
      </c>
      <c r="E24" s="4" t="s">
        <v>66</v>
      </c>
      <c r="F24" s="17" t="s">
        <v>14</v>
      </c>
      <c r="G24" s="16">
        <v>0</v>
      </c>
      <c r="I24" s="6" t="s">
        <v>67</v>
      </c>
      <c r="J24" s="7">
        <v>5.32</v>
      </c>
    </row>
    <row r="25" spans="1:10" ht="15.75" customHeight="1" x14ac:dyDescent="0.2">
      <c r="A25" s="4" t="s">
        <v>68</v>
      </c>
      <c r="B25" s="18">
        <f>(5.28+4.47+5.99+6.48)/4</f>
        <v>5.5549999999999997</v>
      </c>
      <c r="C25" s="19">
        <v>4</v>
      </c>
      <c r="E25" s="4" t="s">
        <v>69</v>
      </c>
      <c r="F25" s="18">
        <f>(5.94+2.57)/2</f>
        <v>4.2549999999999999</v>
      </c>
      <c r="G25" s="19">
        <v>2</v>
      </c>
      <c r="I25" s="6" t="s">
        <v>70</v>
      </c>
      <c r="J25" s="7">
        <v>5.32</v>
      </c>
    </row>
    <row r="26" spans="1:10" ht="15.75" customHeight="1" x14ac:dyDescent="0.2">
      <c r="A26" s="4" t="s">
        <v>71</v>
      </c>
      <c r="B26" s="18" t="s">
        <v>14</v>
      </c>
      <c r="C26" s="19">
        <v>0</v>
      </c>
      <c r="E26" s="4" t="s">
        <v>72</v>
      </c>
      <c r="F26" s="18">
        <v>2.72</v>
      </c>
      <c r="G26" s="19">
        <v>1</v>
      </c>
      <c r="I26" s="6" t="s">
        <v>73</v>
      </c>
      <c r="J26" s="7">
        <v>5.36</v>
      </c>
    </row>
    <row r="27" spans="1:10" ht="15.75" customHeight="1" x14ac:dyDescent="0.2">
      <c r="A27" s="4" t="s">
        <v>74</v>
      </c>
      <c r="B27" s="15">
        <v>6.21</v>
      </c>
      <c r="C27" s="16">
        <v>1</v>
      </c>
      <c r="E27" s="4" t="s">
        <v>75</v>
      </c>
      <c r="F27" s="17">
        <f>(4.99+3.88+5.91+4.62+4.56+4.32+4.74)/7</f>
        <v>4.717142857142858</v>
      </c>
      <c r="G27" s="16">
        <v>7</v>
      </c>
      <c r="I27" s="6" t="s">
        <v>76</v>
      </c>
      <c r="J27" s="7">
        <v>5.77</v>
      </c>
    </row>
    <row r="28" spans="1:10" ht="15.75" customHeight="1" x14ac:dyDescent="0.2">
      <c r="A28" s="4" t="s">
        <v>77</v>
      </c>
      <c r="B28" s="15">
        <f>(5.64+6.09+5.41+4.67+6.42+6.55)/6</f>
        <v>5.7966666666666669</v>
      </c>
      <c r="C28" s="16">
        <v>6</v>
      </c>
      <c r="E28" s="4" t="s">
        <v>78</v>
      </c>
      <c r="F28" s="17">
        <f>(4.62+5.09+1.34+4.62+4.56+5.08+4.88+4.82+3.95+5.08+4.18+5.38+3.78+3.9+4.41+4.8)/16</f>
        <v>4.4056250000000006</v>
      </c>
      <c r="G28" s="16">
        <v>16</v>
      </c>
      <c r="I28" s="6" t="s">
        <v>79</v>
      </c>
      <c r="J28" s="7">
        <v>5.62</v>
      </c>
    </row>
    <row r="29" spans="1:10" ht="15.75" customHeight="1" x14ac:dyDescent="0.2">
      <c r="A29" s="4" t="s">
        <v>80</v>
      </c>
      <c r="B29" s="18">
        <f>(4.3+5.18+1.7)/3</f>
        <v>3.7266666666666666</v>
      </c>
      <c r="C29" s="19">
        <v>3</v>
      </c>
      <c r="E29" s="4" t="s">
        <v>81</v>
      </c>
      <c r="F29" s="18">
        <v>2.5</v>
      </c>
      <c r="G29" s="19">
        <v>1</v>
      </c>
      <c r="I29" s="6" t="s">
        <v>82</v>
      </c>
      <c r="J29" s="7">
        <v>4.5199999999999996</v>
      </c>
    </row>
    <row r="30" spans="1:10" ht="15.75" customHeight="1" x14ac:dyDescent="0.2">
      <c r="A30" s="4" t="s">
        <v>83</v>
      </c>
      <c r="B30" s="18">
        <v>3.43</v>
      </c>
      <c r="C30" s="19">
        <v>1</v>
      </c>
      <c r="E30" s="4" t="s">
        <v>84</v>
      </c>
      <c r="F30" s="18">
        <f>(6.42+5.37)/2</f>
        <v>5.8949999999999996</v>
      </c>
      <c r="G30" s="19">
        <v>2</v>
      </c>
      <c r="I30" s="6" t="s">
        <v>85</v>
      </c>
      <c r="J30" s="7">
        <v>5.18</v>
      </c>
    </row>
    <row r="31" spans="1:10" ht="15.75" customHeight="1" x14ac:dyDescent="0.2">
      <c r="A31" s="4" t="s">
        <v>86</v>
      </c>
      <c r="B31" s="15">
        <f>(4.66+4.45)/2</f>
        <v>4.5549999999999997</v>
      </c>
      <c r="C31" s="16">
        <v>2</v>
      </c>
      <c r="E31" s="4" t="s">
        <v>87</v>
      </c>
      <c r="F31" s="17">
        <v>6.1</v>
      </c>
      <c r="G31" s="16">
        <v>1</v>
      </c>
      <c r="I31" s="6" t="s">
        <v>88</v>
      </c>
      <c r="J31" s="7">
        <v>5.55</v>
      </c>
    </row>
    <row r="32" spans="1:10" ht="15.75" customHeight="1" x14ac:dyDescent="0.2">
      <c r="A32" s="4" t="s">
        <v>64</v>
      </c>
      <c r="B32" s="15">
        <v>5.05</v>
      </c>
      <c r="C32" s="16">
        <v>1</v>
      </c>
      <c r="E32" s="4" t="s">
        <v>89</v>
      </c>
      <c r="F32" s="17">
        <f>(4.94+3.36+3.83+3.34+4.33+1.55)/6</f>
        <v>3.5583333333333336</v>
      </c>
      <c r="G32" s="16">
        <v>6</v>
      </c>
      <c r="I32" s="6" t="s">
        <v>90</v>
      </c>
      <c r="J32" s="7">
        <v>5.07</v>
      </c>
    </row>
    <row r="33" spans="1:10" ht="15.75" customHeight="1" x14ac:dyDescent="0.2">
      <c r="A33" s="4" t="s">
        <v>91</v>
      </c>
      <c r="B33" s="18" t="s">
        <v>14</v>
      </c>
      <c r="C33" s="19">
        <v>0</v>
      </c>
      <c r="E33" s="4" t="s">
        <v>92</v>
      </c>
      <c r="F33" s="18">
        <f>(5.96+4.66+4.77)/3</f>
        <v>5.13</v>
      </c>
      <c r="G33" s="19">
        <v>3</v>
      </c>
      <c r="I33" s="6" t="s">
        <v>93</v>
      </c>
      <c r="J33" s="7">
        <v>5.2</v>
      </c>
    </row>
    <row r="34" spans="1:10" ht="15.75" customHeight="1" x14ac:dyDescent="0.2">
      <c r="A34" s="4" t="s">
        <v>94</v>
      </c>
      <c r="B34" s="18" t="s">
        <v>14</v>
      </c>
      <c r="C34" s="19">
        <v>0</v>
      </c>
      <c r="E34" s="4" t="s">
        <v>95</v>
      </c>
      <c r="F34" s="18">
        <v>4.09</v>
      </c>
      <c r="G34" s="19">
        <v>1</v>
      </c>
      <c r="I34" s="6" t="s">
        <v>96</v>
      </c>
      <c r="J34" s="7">
        <v>5.14</v>
      </c>
    </row>
    <row r="35" spans="1:10" ht="15.75" customHeight="1" x14ac:dyDescent="0.2">
      <c r="A35" s="4" t="s">
        <v>97</v>
      </c>
      <c r="B35" s="15" t="s">
        <v>14</v>
      </c>
      <c r="C35" s="16">
        <v>0</v>
      </c>
      <c r="E35" s="4" t="s">
        <v>98</v>
      </c>
      <c r="F35" s="17">
        <f>(5.25+4.67)/2</f>
        <v>4.96</v>
      </c>
      <c r="G35" s="16">
        <v>2</v>
      </c>
      <c r="I35" s="6" t="s">
        <v>99</v>
      </c>
      <c r="J35" s="7">
        <v>4.71</v>
      </c>
    </row>
    <row r="36" spans="1:10" ht="15.75" customHeight="1" x14ac:dyDescent="0.2">
      <c r="A36" s="4" t="s">
        <v>100</v>
      </c>
      <c r="B36" s="15" t="s">
        <v>14</v>
      </c>
      <c r="C36" s="16">
        <v>0</v>
      </c>
      <c r="E36" s="4" t="s">
        <v>101</v>
      </c>
      <c r="F36" s="17">
        <f>(6.25+3.3+5.22+6.31)/4</f>
        <v>5.27</v>
      </c>
      <c r="G36" s="16">
        <v>4</v>
      </c>
      <c r="I36" s="6" t="s">
        <v>102</v>
      </c>
      <c r="J36" s="7">
        <v>5.23</v>
      </c>
    </row>
    <row r="37" spans="1:10" ht="15.75" customHeight="1" x14ac:dyDescent="0.2">
      <c r="A37" s="4" t="s">
        <v>103</v>
      </c>
      <c r="B37" s="18">
        <v>3.08</v>
      </c>
      <c r="C37" s="19">
        <v>1</v>
      </c>
      <c r="I37" s="6" t="s">
        <v>104</v>
      </c>
      <c r="J37" s="7">
        <v>4.97</v>
      </c>
    </row>
    <row r="38" spans="1:10" ht="15.75" customHeight="1" x14ac:dyDescent="0.2">
      <c r="B38" s="20"/>
      <c r="I38" s="6" t="s">
        <v>105</v>
      </c>
      <c r="J38" s="7">
        <v>5.34</v>
      </c>
    </row>
    <row r="39" spans="1:10" ht="15.75" customHeight="1" x14ac:dyDescent="0.2">
      <c r="B39" s="20"/>
      <c r="I39" s="6" t="s">
        <v>106</v>
      </c>
      <c r="J39" s="7">
        <v>5.24</v>
      </c>
    </row>
    <row r="40" spans="1:10" ht="15.75" customHeight="1" x14ac:dyDescent="0.2">
      <c r="I40" s="6" t="s">
        <v>107</v>
      </c>
      <c r="J40" s="7">
        <v>5.64</v>
      </c>
    </row>
    <row r="41" spans="1:10" ht="15.75" customHeight="1" x14ac:dyDescent="0.2">
      <c r="I41" s="6" t="s">
        <v>108</v>
      </c>
      <c r="J41" s="7">
        <v>5.15</v>
      </c>
    </row>
    <row r="42" spans="1:10" ht="15.75" customHeight="1" x14ac:dyDescent="0.2">
      <c r="I42" s="6" t="s">
        <v>109</v>
      </c>
      <c r="J42" s="7">
        <v>5.19</v>
      </c>
    </row>
    <row r="43" spans="1:10" ht="15.75" customHeight="1" x14ac:dyDescent="0.2">
      <c r="I43" s="6" t="s">
        <v>110</v>
      </c>
      <c r="J43" s="7">
        <v>4.88</v>
      </c>
    </row>
    <row r="44" spans="1:10" ht="15.75" customHeight="1" x14ac:dyDescent="0.2">
      <c r="I44" s="6" t="s">
        <v>111</v>
      </c>
      <c r="J44" s="7">
        <v>5.4</v>
      </c>
    </row>
    <row r="45" spans="1:10" ht="15.75" customHeight="1" x14ac:dyDescent="0.2">
      <c r="I45" s="6" t="s">
        <v>112</v>
      </c>
      <c r="J45" s="7">
        <v>5.16</v>
      </c>
    </row>
    <row r="46" spans="1:10" ht="15.75" customHeight="1" x14ac:dyDescent="0.2">
      <c r="I46" s="6" t="s">
        <v>113</v>
      </c>
      <c r="J46" s="7">
        <v>5.3</v>
      </c>
    </row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116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117</v>
      </c>
    </row>
    <row r="4" spans="1:10" x14ac:dyDescent="0.2">
      <c r="A4" s="4" t="s">
        <v>4</v>
      </c>
      <c r="B4" s="17">
        <v>4.05</v>
      </c>
      <c r="C4" s="16">
        <v>1</v>
      </c>
      <c r="E4" s="4" t="s">
        <v>5</v>
      </c>
      <c r="F4" s="17">
        <f>(4.62+5.85+3.51)/3</f>
        <v>4.6599999999999993</v>
      </c>
      <c r="G4" s="16">
        <v>3</v>
      </c>
      <c r="I4" s="6" t="s">
        <v>9</v>
      </c>
      <c r="J4" s="7">
        <v>6.21</v>
      </c>
    </row>
    <row r="5" spans="1:10" x14ac:dyDescent="0.2">
      <c r="A5" s="4" t="s">
        <v>7</v>
      </c>
      <c r="B5" s="21">
        <f>(6.35+5.04+8.34+7.57+3.59+2+4.41+6.06+8.11+3.62+6.21+6.87+8.17+4.71+3.99+6.83+4.27+4.4+4.36+5.23+4.02+3.89+6.62+4.45+7.34+5.96+8.01+5.5+8.1+4.79+7.51+4.55+6.29+4.44+4.82+4.8+3.93+6.75+6.25+4.74+6.71+5.9+6.86+6.45)/44</f>
        <v>5.6547727272727277</v>
      </c>
      <c r="C5" s="22">
        <v>44</v>
      </c>
      <c r="E5" s="4" t="s">
        <v>8</v>
      </c>
      <c r="F5" s="21">
        <f>(5.24+4.72+5.48+4.52+5.21)/5</f>
        <v>5.0340000000000007</v>
      </c>
      <c r="G5" s="22">
        <v>5</v>
      </c>
      <c r="I5" s="6" t="s">
        <v>12</v>
      </c>
      <c r="J5" s="7">
        <v>6.76</v>
      </c>
    </row>
    <row r="6" spans="1:10" x14ac:dyDescent="0.2">
      <c r="A6" s="4" t="s">
        <v>10</v>
      </c>
      <c r="B6" s="21">
        <v>5.45</v>
      </c>
      <c r="C6" s="22">
        <v>1</v>
      </c>
      <c r="E6" s="4" t="s">
        <v>11</v>
      </c>
      <c r="F6" s="21">
        <f>(5.9+3.37+4.43+5.54+3.58+4.26+2.07+4.11+4.79+5.31+5.03+4.75+4.16+3.43+5.09)/15</f>
        <v>4.3879999999999999</v>
      </c>
      <c r="G6" s="22">
        <v>15</v>
      </c>
      <c r="I6" s="6" t="s">
        <v>16</v>
      </c>
      <c r="J6" s="7">
        <v>7.09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6.04</v>
      </c>
      <c r="G7" s="16">
        <v>1</v>
      </c>
      <c r="I7" s="6" t="s">
        <v>19</v>
      </c>
      <c r="J7" s="7">
        <v>6.03</v>
      </c>
    </row>
    <row r="8" spans="1:10" x14ac:dyDescent="0.2">
      <c r="A8" s="4" t="s">
        <v>17</v>
      </c>
      <c r="B8" s="17">
        <f>(4.39+5.59+6.08+3.95+4.55+5.97)/6</f>
        <v>5.0883333333333338</v>
      </c>
      <c r="C8" s="16">
        <v>6</v>
      </c>
      <c r="E8" s="4" t="s">
        <v>18</v>
      </c>
      <c r="F8" s="17">
        <f>(9.32+6.49+7.36+7.93+8.78+9.42+3.1)/7</f>
        <v>7.4857142857142867</v>
      </c>
      <c r="G8" s="16">
        <v>7</v>
      </c>
      <c r="I8" s="6" t="s">
        <v>22</v>
      </c>
      <c r="J8" s="7">
        <v>6.63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(5.07+0+5.85)/3</f>
        <v>3.64</v>
      </c>
      <c r="G9" s="22">
        <v>3</v>
      </c>
      <c r="I9" s="6" t="s">
        <v>25</v>
      </c>
      <c r="J9" s="7">
        <v>7.16</v>
      </c>
    </row>
    <row r="10" spans="1:10" x14ac:dyDescent="0.2">
      <c r="A10" s="4" t="s">
        <v>23</v>
      </c>
      <c r="B10" s="21">
        <f>(3.44+4.51+3.62+3.56+3.25)/5</f>
        <v>3.6760000000000006</v>
      </c>
      <c r="C10" s="22">
        <v>5</v>
      </c>
      <c r="E10" s="4" t="s">
        <v>24</v>
      </c>
      <c r="F10" s="21">
        <f>(3.56+3.99+4.44+3.97)/4</f>
        <v>3.9900000000000007</v>
      </c>
      <c r="G10" s="22">
        <v>4</v>
      </c>
      <c r="I10" s="6" t="s">
        <v>28</v>
      </c>
      <c r="J10" s="7">
        <v>5.92</v>
      </c>
    </row>
    <row r="11" spans="1:10" x14ac:dyDescent="0.2">
      <c r="A11" s="4" t="s">
        <v>26</v>
      </c>
      <c r="B11" s="17">
        <f>(5.25+4.1+5.74)/3</f>
        <v>5.03</v>
      </c>
      <c r="C11" s="16">
        <v>3</v>
      </c>
      <c r="E11" s="4" t="s">
        <v>27</v>
      </c>
      <c r="F11" s="17">
        <f>(5.98+9.74+7.03+6.4+6.45+6.05+1.5+6.44)/8</f>
        <v>6.1987499999999995</v>
      </c>
      <c r="G11" s="16">
        <v>8</v>
      </c>
      <c r="I11" s="6" t="s">
        <v>31</v>
      </c>
      <c r="J11" s="7">
        <v>6.54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34</v>
      </c>
      <c r="J12" s="7">
        <v>6.38</v>
      </c>
    </row>
    <row r="13" spans="1:10" x14ac:dyDescent="0.2">
      <c r="A13" s="4" t="s">
        <v>32</v>
      </c>
      <c r="B13" s="21">
        <v>3.41</v>
      </c>
      <c r="C13" s="22">
        <v>1</v>
      </c>
      <c r="E13" s="4" t="s">
        <v>33</v>
      </c>
      <c r="F13" s="21" t="s">
        <v>14</v>
      </c>
      <c r="G13" s="22">
        <v>0</v>
      </c>
      <c r="I13" s="6" t="s">
        <v>37</v>
      </c>
      <c r="J13" s="7">
        <v>6.04</v>
      </c>
    </row>
    <row r="14" spans="1:10" x14ac:dyDescent="0.2">
      <c r="A14" s="4" t="s">
        <v>35</v>
      </c>
      <c r="B14" s="21">
        <v>4.0199999999999996</v>
      </c>
      <c r="C14" s="22">
        <v>1</v>
      </c>
      <c r="E14" s="4" t="s">
        <v>36</v>
      </c>
      <c r="F14" s="21">
        <f>(5.33+6.98+4.74+4.3+3.92+4.97+5.53+7.16+4.76+2.12+4.46+4.6+6.57+5.9+6+5.54+6.75+5.11+6.53+4.39+5.19+6.42+5.33+5.44+4.38+6.4+5.59+4.97+6.36+5.29+3.82+5.68)/32</f>
        <v>5.3290625000000009</v>
      </c>
      <c r="G14" s="22">
        <v>32</v>
      </c>
      <c r="I14" s="6" t="s">
        <v>40</v>
      </c>
      <c r="J14" s="7">
        <v>7.39</v>
      </c>
    </row>
    <row r="15" spans="1:10" x14ac:dyDescent="0.2">
      <c r="A15" s="4" t="s">
        <v>38</v>
      </c>
      <c r="B15" s="17">
        <v>1.98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43</v>
      </c>
      <c r="J15" s="7">
        <v>6.37</v>
      </c>
    </row>
    <row r="16" spans="1:10" x14ac:dyDescent="0.2">
      <c r="A16" s="4" t="s">
        <v>41</v>
      </c>
      <c r="B16" s="17">
        <f>(3.98+4.32+3.76)/3</f>
        <v>4.0200000000000005</v>
      </c>
      <c r="C16" s="16">
        <v>3</v>
      </c>
      <c r="E16" s="4" t="s">
        <v>42</v>
      </c>
      <c r="F16" s="17">
        <v>6.35</v>
      </c>
      <c r="G16" s="16">
        <v>1</v>
      </c>
      <c r="I16" s="6" t="s">
        <v>46</v>
      </c>
      <c r="J16" s="7">
        <v>6.28</v>
      </c>
    </row>
    <row r="17" spans="1:10" x14ac:dyDescent="0.2">
      <c r="A17" s="4" t="s">
        <v>44</v>
      </c>
      <c r="B17" s="21">
        <v>8.0399999999999991</v>
      </c>
      <c r="C17" s="22">
        <v>1</v>
      </c>
      <c r="E17" s="4" t="s">
        <v>45</v>
      </c>
      <c r="F17" s="21">
        <f>(6.37+5.57+4.66+5.79+5.48+5.74+1.2+4.78+9.5+5.68)/10</f>
        <v>5.4770000000000003</v>
      </c>
      <c r="G17" s="22">
        <v>10</v>
      </c>
      <c r="I17" s="6" t="s">
        <v>49</v>
      </c>
      <c r="J17" s="7">
        <v>6.18</v>
      </c>
    </row>
    <row r="18" spans="1:10" x14ac:dyDescent="0.2">
      <c r="A18" s="4" t="s">
        <v>47</v>
      </c>
      <c r="B18" s="21" t="s">
        <v>14</v>
      </c>
      <c r="C18" s="22">
        <v>0</v>
      </c>
      <c r="E18" s="4" t="s">
        <v>48</v>
      </c>
      <c r="F18" s="21">
        <f>(5.31+4.85+5.45+6+4.53+2.96+4.78+6.51+4.83+6.58+2.57+4.93+6.64+5.2+5.04+5.52+4.41+3.61+4.94+4.62+5.16+5.66)/22</f>
        <v>5.004545454545454</v>
      </c>
      <c r="G18" s="22">
        <v>22</v>
      </c>
      <c r="I18" s="6" t="s">
        <v>52</v>
      </c>
      <c r="J18" s="7">
        <v>6.47</v>
      </c>
    </row>
    <row r="19" spans="1:10" x14ac:dyDescent="0.2">
      <c r="A19" s="4" t="s">
        <v>50</v>
      </c>
      <c r="B19" s="21" t="s">
        <v>14</v>
      </c>
      <c r="C19" s="22">
        <v>0</v>
      </c>
      <c r="E19" s="4" t="s">
        <v>51</v>
      </c>
      <c r="F19" s="17">
        <f>(3.06+4.45+4.69+3.91)/4</f>
        <v>4.0274999999999999</v>
      </c>
      <c r="G19" s="16">
        <v>4</v>
      </c>
      <c r="I19" s="6" t="s">
        <v>55</v>
      </c>
      <c r="J19" s="7">
        <v>6.65</v>
      </c>
    </row>
    <row r="20" spans="1:10" x14ac:dyDescent="0.2">
      <c r="A20" s="4" t="s">
        <v>53</v>
      </c>
      <c r="B20" s="17">
        <f>(11.95+8.36+10.38+8.79)/4</f>
        <v>9.8699999999999992</v>
      </c>
      <c r="C20" s="16">
        <v>4</v>
      </c>
      <c r="E20" s="4" t="s">
        <v>54</v>
      </c>
      <c r="F20" s="17">
        <f>(3.18+2.96+3.42+2.92)/4</f>
        <v>3.12</v>
      </c>
      <c r="G20" s="16">
        <v>4</v>
      </c>
      <c r="I20" s="6" t="s">
        <v>58</v>
      </c>
      <c r="J20" s="7">
        <v>6.19</v>
      </c>
    </row>
    <row r="21" spans="1:10" ht="15.75" customHeight="1" x14ac:dyDescent="0.2">
      <c r="A21" s="4" t="s">
        <v>56</v>
      </c>
      <c r="B21" s="21" t="s">
        <v>14</v>
      </c>
      <c r="C21" s="22">
        <v>0</v>
      </c>
      <c r="E21" s="4" t="s">
        <v>57</v>
      </c>
      <c r="F21" s="21">
        <f>(4.98+5.47+5.86+4.81+6.44+4.81+5.7+4.16+5.09)/9</f>
        <v>5.257777777777779</v>
      </c>
      <c r="G21" s="22">
        <v>9</v>
      </c>
      <c r="I21" s="6" t="s">
        <v>61</v>
      </c>
      <c r="J21" s="7">
        <v>6.52</v>
      </c>
    </row>
    <row r="22" spans="1:10" ht="15.75" customHeight="1" x14ac:dyDescent="0.2">
      <c r="A22" s="4" t="s">
        <v>59</v>
      </c>
      <c r="B22" s="21" t="s">
        <v>14</v>
      </c>
      <c r="C22" s="22">
        <v>0</v>
      </c>
      <c r="E22" s="4" t="s">
        <v>60</v>
      </c>
      <c r="F22" s="21" t="s">
        <v>14</v>
      </c>
      <c r="G22" s="22">
        <v>0</v>
      </c>
      <c r="I22" s="6" t="s">
        <v>64</v>
      </c>
      <c r="J22" s="7">
        <v>7</v>
      </c>
    </row>
    <row r="23" spans="1:10" ht="15.75" customHeight="1" x14ac:dyDescent="0.2">
      <c r="A23" s="4" t="s">
        <v>62</v>
      </c>
      <c r="B23" s="17">
        <v>5.13</v>
      </c>
      <c r="C23" s="16">
        <v>1</v>
      </c>
      <c r="E23" s="4" t="s">
        <v>63</v>
      </c>
      <c r="F23" s="17">
        <v>0.59</v>
      </c>
      <c r="G23" s="16">
        <v>1</v>
      </c>
      <c r="I23" s="6" t="s">
        <v>67</v>
      </c>
      <c r="J23" s="7">
        <v>6.91</v>
      </c>
    </row>
    <row r="24" spans="1:10" ht="15.75" customHeight="1" x14ac:dyDescent="0.2">
      <c r="A24" s="4" t="s">
        <v>65</v>
      </c>
      <c r="B24" s="17" t="s">
        <v>14</v>
      </c>
      <c r="C24" s="16">
        <v>0</v>
      </c>
      <c r="E24" s="4" t="s">
        <v>66</v>
      </c>
      <c r="F24" s="17" t="s">
        <v>14</v>
      </c>
      <c r="G24" s="16">
        <v>0</v>
      </c>
      <c r="I24" s="6" t="s">
        <v>70</v>
      </c>
      <c r="J24" s="7">
        <v>6.28</v>
      </c>
    </row>
    <row r="25" spans="1:10" ht="15.75" customHeight="1" x14ac:dyDescent="0.2">
      <c r="A25" s="4" t="s">
        <v>68</v>
      </c>
      <c r="B25" s="21">
        <f>(6.31+5.47+7.6+4.59)/4</f>
        <v>5.9924999999999997</v>
      </c>
      <c r="C25" s="22">
        <v>4</v>
      </c>
      <c r="E25" s="4" t="s">
        <v>69</v>
      </c>
      <c r="F25" s="21">
        <f>(4.42+2.56)/2</f>
        <v>3.49</v>
      </c>
      <c r="G25" s="22">
        <v>2</v>
      </c>
      <c r="I25" s="6" t="s">
        <v>73</v>
      </c>
      <c r="J25" s="7">
        <v>6.5</v>
      </c>
    </row>
    <row r="26" spans="1:10" ht="15.75" customHeight="1" x14ac:dyDescent="0.2">
      <c r="A26" s="4" t="s">
        <v>71</v>
      </c>
      <c r="B26" s="21" t="s">
        <v>14</v>
      </c>
      <c r="C26" s="22">
        <v>0</v>
      </c>
      <c r="E26" s="4" t="s">
        <v>72</v>
      </c>
      <c r="F26" s="21">
        <v>6.07</v>
      </c>
      <c r="G26" s="22">
        <v>1</v>
      </c>
      <c r="I26" s="6" t="s">
        <v>76</v>
      </c>
      <c r="J26" s="7">
        <v>6.33</v>
      </c>
    </row>
    <row r="27" spans="1:10" ht="15.75" customHeight="1" x14ac:dyDescent="0.2">
      <c r="A27" s="4" t="s">
        <v>74</v>
      </c>
      <c r="B27" s="17">
        <v>3.72</v>
      </c>
      <c r="C27" s="16">
        <v>1</v>
      </c>
      <c r="E27" s="4" t="s">
        <v>75</v>
      </c>
      <c r="F27" s="17">
        <f>(4.17+6.25+3.38+4.91+5.07+4.26+6.23)/7</f>
        <v>4.895714285714285</v>
      </c>
      <c r="G27" s="16">
        <v>7</v>
      </c>
      <c r="I27" s="6" t="s">
        <v>79</v>
      </c>
      <c r="J27" s="7">
        <v>6.88</v>
      </c>
    </row>
    <row r="28" spans="1:10" ht="15.75" customHeight="1" x14ac:dyDescent="0.2">
      <c r="A28" s="4" t="s">
        <v>77</v>
      </c>
      <c r="B28" s="17">
        <f>(5.43+4.09+5.23+4.47+4.33+2.71)/6</f>
        <v>4.376666666666666</v>
      </c>
      <c r="C28" s="16">
        <v>6</v>
      </c>
      <c r="E28" s="4" t="s">
        <v>78</v>
      </c>
      <c r="F28" s="17">
        <f>(4.02+4.48+4.63+4.58+1.55+3.95+5.71+5.77+9.35+2.97+4.63+4.87+6.1+3.54+1.56+6.49+5.33)/17</f>
        <v>4.6782352941176475</v>
      </c>
      <c r="G28" s="16">
        <v>17</v>
      </c>
      <c r="I28" s="6" t="s">
        <v>82</v>
      </c>
      <c r="J28" s="7">
        <v>6.3</v>
      </c>
    </row>
    <row r="29" spans="1:10" ht="15.75" customHeight="1" x14ac:dyDescent="0.2">
      <c r="A29" s="4" t="s">
        <v>80</v>
      </c>
      <c r="B29" s="21">
        <f>(3.56+3.05)/2</f>
        <v>3.3049999999999997</v>
      </c>
      <c r="C29" s="22">
        <v>2</v>
      </c>
      <c r="E29" s="4" t="s">
        <v>81</v>
      </c>
      <c r="F29" s="21">
        <v>4.76</v>
      </c>
      <c r="G29" s="22">
        <v>1</v>
      </c>
      <c r="I29" s="6" t="s">
        <v>85</v>
      </c>
      <c r="J29" s="7">
        <v>6.8</v>
      </c>
    </row>
    <row r="30" spans="1:10" ht="15.75" customHeight="1" x14ac:dyDescent="0.2">
      <c r="A30" s="4" t="s">
        <v>83</v>
      </c>
      <c r="B30" s="21">
        <v>4.26</v>
      </c>
      <c r="C30" s="22">
        <v>1</v>
      </c>
      <c r="E30" s="4" t="s">
        <v>84</v>
      </c>
      <c r="F30" s="21">
        <f>(6.6+5.46)/2</f>
        <v>6.0299999999999994</v>
      </c>
      <c r="G30" s="22">
        <v>2</v>
      </c>
      <c r="I30" s="6" t="s">
        <v>88</v>
      </c>
      <c r="J30" s="7">
        <v>6.71</v>
      </c>
    </row>
    <row r="31" spans="1:10" ht="15.75" customHeight="1" x14ac:dyDescent="0.2">
      <c r="A31" s="4" t="s">
        <v>86</v>
      </c>
      <c r="B31" s="17">
        <f>(3.97+4.17)/2</f>
        <v>4.07</v>
      </c>
      <c r="C31" s="16">
        <v>2</v>
      </c>
      <c r="E31" s="4" t="s">
        <v>87</v>
      </c>
      <c r="F31" s="17">
        <v>3.33</v>
      </c>
      <c r="G31" s="16">
        <v>1</v>
      </c>
      <c r="I31" s="6" t="s">
        <v>90</v>
      </c>
      <c r="J31" s="7">
        <v>6.2</v>
      </c>
    </row>
    <row r="32" spans="1:10" ht="15.75" customHeight="1" x14ac:dyDescent="0.2">
      <c r="A32" s="4" t="s">
        <v>64</v>
      </c>
      <c r="B32" s="17">
        <v>5.08</v>
      </c>
      <c r="C32" s="16">
        <v>1</v>
      </c>
      <c r="E32" s="4" t="s">
        <v>89</v>
      </c>
      <c r="F32" s="17">
        <f>(5.56+5.22+5.19+4.29+5.32+0.32+4.06)/7</f>
        <v>4.2799999999999994</v>
      </c>
      <c r="G32" s="16">
        <v>7</v>
      </c>
      <c r="I32" s="6" t="s">
        <v>93</v>
      </c>
      <c r="J32" s="7">
        <v>7.22</v>
      </c>
    </row>
    <row r="33" spans="1:10" ht="15.75" customHeight="1" x14ac:dyDescent="0.2">
      <c r="A33" s="4" t="s">
        <v>91</v>
      </c>
      <c r="B33" s="21" t="s">
        <v>14</v>
      </c>
      <c r="C33" s="22">
        <v>0</v>
      </c>
      <c r="E33" s="4" t="s">
        <v>92</v>
      </c>
      <c r="F33" s="21">
        <f>(5.03+5.73)/2</f>
        <v>5.3800000000000008</v>
      </c>
      <c r="G33" s="22">
        <v>2</v>
      </c>
      <c r="I33" s="6" t="s">
        <v>96</v>
      </c>
      <c r="J33" s="7">
        <v>6.08</v>
      </c>
    </row>
    <row r="34" spans="1:10" ht="15.75" customHeight="1" x14ac:dyDescent="0.2">
      <c r="A34" s="4" t="s">
        <v>94</v>
      </c>
      <c r="B34" s="18" t="s">
        <v>14</v>
      </c>
      <c r="C34" s="19">
        <v>0</v>
      </c>
      <c r="E34" s="4" t="s">
        <v>95</v>
      </c>
      <c r="F34" s="21">
        <v>4.9400000000000004</v>
      </c>
      <c r="G34" s="22">
        <v>1</v>
      </c>
      <c r="I34" s="6" t="s">
        <v>99</v>
      </c>
      <c r="J34" s="7">
        <v>6.42</v>
      </c>
    </row>
    <row r="35" spans="1:10" ht="15.75" customHeight="1" x14ac:dyDescent="0.2">
      <c r="A35" s="4" t="s">
        <v>97</v>
      </c>
      <c r="B35" s="17" t="s">
        <v>14</v>
      </c>
      <c r="C35" s="16">
        <v>0</v>
      </c>
      <c r="E35" s="4" t="s">
        <v>98</v>
      </c>
      <c r="F35" s="17">
        <f>(3.83+4)/2</f>
        <v>3.915</v>
      </c>
      <c r="G35" s="16">
        <v>2</v>
      </c>
      <c r="I35" s="6" t="s">
        <v>102</v>
      </c>
      <c r="J35" s="7">
        <v>6.28</v>
      </c>
    </row>
    <row r="36" spans="1:10" ht="15.75" customHeight="1" x14ac:dyDescent="0.2">
      <c r="A36" s="4" t="s">
        <v>100</v>
      </c>
      <c r="B36" s="17" t="s">
        <v>14</v>
      </c>
      <c r="C36" s="16">
        <v>0</v>
      </c>
      <c r="E36" s="4" t="s">
        <v>101</v>
      </c>
      <c r="F36" s="17">
        <f>(5.32+5.16+6.42+7.61)/4</f>
        <v>6.1274999999999995</v>
      </c>
      <c r="G36" s="16">
        <v>4</v>
      </c>
      <c r="I36" s="6" t="s">
        <v>104</v>
      </c>
      <c r="J36" s="7">
        <v>6.51</v>
      </c>
    </row>
    <row r="37" spans="1:10" ht="15.75" customHeight="1" x14ac:dyDescent="0.2">
      <c r="A37" s="4" t="s">
        <v>103</v>
      </c>
      <c r="B37" s="21">
        <v>4.28</v>
      </c>
      <c r="C37" s="22">
        <v>1</v>
      </c>
      <c r="I37" s="6" t="s">
        <v>105</v>
      </c>
      <c r="J37" s="7">
        <v>6.73</v>
      </c>
    </row>
    <row r="38" spans="1:10" ht="15.75" customHeight="1" x14ac:dyDescent="0.2">
      <c r="I38" s="6" t="s">
        <v>106</v>
      </c>
      <c r="J38" s="7">
        <v>6.43</v>
      </c>
    </row>
    <row r="39" spans="1:10" ht="15.75" customHeight="1" x14ac:dyDescent="0.2">
      <c r="I39" s="6" t="s">
        <v>107</v>
      </c>
      <c r="J39" s="7">
        <v>6.93</v>
      </c>
    </row>
    <row r="40" spans="1:10" ht="15.75" customHeight="1" x14ac:dyDescent="0.2">
      <c r="I40" s="6" t="s">
        <v>108</v>
      </c>
      <c r="J40" s="7">
        <v>6.22</v>
      </c>
    </row>
    <row r="41" spans="1:10" ht="15.75" customHeight="1" x14ac:dyDescent="0.2">
      <c r="I41" s="6" t="s">
        <v>109</v>
      </c>
      <c r="J41" s="7">
        <v>6.21</v>
      </c>
    </row>
    <row r="42" spans="1:10" ht="15.75" customHeight="1" x14ac:dyDescent="0.2">
      <c r="I42" s="6" t="s">
        <v>110</v>
      </c>
      <c r="J42" s="7">
        <v>6.21</v>
      </c>
    </row>
    <row r="43" spans="1:10" ht="15.75" customHeight="1" x14ac:dyDescent="0.2">
      <c r="I43" s="6" t="s">
        <v>111</v>
      </c>
      <c r="J43" s="7">
        <v>6.78</v>
      </c>
    </row>
    <row r="44" spans="1:10" ht="15.75" customHeight="1" x14ac:dyDescent="0.2">
      <c r="I44" s="6" t="s">
        <v>112</v>
      </c>
      <c r="J44" s="7">
        <v>6.26</v>
      </c>
    </row>
    <row r="45" spans="1:10" ht="15.75" customHeight="1" x14ac:dyDescent="0.2">
      <c r="I45" s="6" t="s">
        <v>113</v>
      </c>
      <c r="J45" s="7">
        <v>6.06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118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117</v>
      </c>
    </row>
    <row r="4" spans="1:10" x14ac:dyDescent="0.2">
      <c r="A4" s="4" t="s">
        <v>4</v>
      </c>
      <c r="B4" s="17">
        <v>5.57</v>
      </c>
      <c r="C4" s="16">
        <v>1</v>
      </c>
      <c r="E4" s="4" t="s">
        <v>5</v>
      </c>
      <c r="F4" s="17">
        <f>(3.12+2.45+4.29)/3</f>
        <v>3.2866666666666666</v>
      </c>
      <c r="G4" s="16">
        <v>3</v>
      </c>
      <c r="I4" s="6" t="s">
        <v>9</v>
      </c>
      <c r="J4" s="7">
        <v>4.08</v>
      </c>
    </row>
    <row r="5" spans="1:10" x14ac:dyDescent="0.2">
      <c r="A5" s="23" t="s">
        <v>7</v>
      </c>
      <c r="B5" s="21">
        <f>(11.03+5.05+5.29+6.25+4.41+0.02+4.76+12.84+7.61+3.9+7.59+5.66+3.19+4.97+8+3.9+3.74+2.86+3.01+4.36+3.3+3.88+4.71+3.7+5.38+8.16+3.84+2.94+3.28+5.12+3.47+2.66+2.97+5.2+5.53+4.02+3.84+4.95+11.49+3.12+3.46+3.87+3.52+5.49+0)/45</f>
        <v>4.807555555555556</v>
      </c>
      <c r="C5" s="22">
        <v>45</v>
      </c>
      <c r="E5" s="4" t="s">
        <v>8</v>
      </c>
      <c r="F5" s="21">
        <f>(7.14+7.24+9.08+5.29+6.38)/5</f>
        <v>7.0260000000000007</v>
      </c>
      <c r="G5" s="22">
        <v>5</v>
      </c>
      <c r="I5" s="6" t="s">
        <v>12</v>
      </c>
      <c r="J5" s="7">
        <v>4.8899999999999997</v>
      </c>
    </row>
    <row r="6" spans="1:10" x14ac:dyDescent="0.2">
      <c r="A6" s="4" t="s">
        <v>10</v>
      </c>
      <c r="B6" s="21">
        <v>1.63</v>
      </c>
      <c r="C6" s="22">
        <v>1</v>
      </c>
      <c r="E6" s="4" t="s">
        <v>11</v>
      </c>
      <c r="F6" s="21">
        <f>(5.02+2.49+4.87+6.34+5.25+5.35+5.76+7.45+6.34+5.23+6.07+6+7.27+7+6.59)/15</f>
        <v>5.8020000000000014</v>
      </c>
      <c r="G6" s="22">
        <v>15</v>
      </c>
      <c r="I6" s="6" t="s">
        <v>16</v>
      </c>
      <c r="J6" s="7">
        <v>4.5599999999999996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7.48</v>
      </c>
      <c r="G7" s="16">
        <v>1</v>
      </c>
      <c r="I7" s="6" t="s">
        <v>19</v>
      </c>
      <c r="J7" s="7">
        <v>5.26</v>
      </c>
    </row>
    <row r="8" spans="1:10" x14ac:dyDescent="0.2">
      <c r="A8" s="4" t="s">
        <v>17</v>
      </c>
      <c r="B8" s="17">
        <f>(4.7+6.42+4.61+5.71+6.37+7.78)/6</f>
        <v>5.9316666666666675</v>
      </c>
      <c r="C8" s="16">
        <v>6</v>
      </c>
      <c r="E8" s="4" t="s">
        <v>18</v>
      </c>
      <c r="F8" s="17">
        <f>(4.98+7.01+4.73+6.49+3.62+2.67+2.63)/7</f>
        <v>4.5900000000000007</v>
      </c>
      <c r="G8" s="16">
        <v>7</v>
      </c>
      <c r="I8" s="6" t="s">
        <v>22</v>
      </c>
      <c r="J8" s="7">
        <v>4.88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(7.94+2.5+0+6.54)/4</f>
        <v>4.2450000000000001</v>
      </c>
      <c r="G9" s="22">
        <v>4</v>
      </c>
      <c r="I9" s="6" t="s">
        <v>25</v>
      </c>
      <c r="J9" s="7">
        <v>4.6399999999999997</v>
      </c>
    </row>
    <row r="10" spans="1:10" x14ac:dyDescent="0.2">
      <c r="A10" s="4" t="s">
        <v>23</v>
      </c>
      <c r="B10" s="21">
        <f>(4.5+6.69+6.63+7.33)/4</f>
        <v>6.2874999999999996</v>
      </c>
      <c r="C10" s="22">
        <v>4</v>
      </c>
      <c r="E10" s="4" t="s">
        <v>24</v>
      </c>
      <c r="F10" s="21">
        <f>(8.27+7.14+6.48+7.46+7.36)/5</f>
        <v>7.3420000000000005</v>
      </c>
      <c r="G10" s="22">
        <v>5</v>
      </c>
      <c r="I10" s="6" t="s">
        <v>28</v>
      </c>
      <c r="J10" s="7">
        <v>4.53</v>
      </c>
    </row>
    <row r="11" spans="1:10" x14ac:dyDescent="0.2">
      <c r="A11" s="4" t="s">
        <v>26</v>
      </c>
      <c r="B11" s="17">
        <f>(9.63+6.42+8.09)/3</f>
        <v>8.0466666666666669</v>
      </c>
      <c r="C11" s="16">
        <v>3</v>
      </c>
      <c r="E11" s="4" t="s">
        <v>27</v>
      </c>
      <c r="F11" s="17">
        <f>(6.11+4.62+4.87+5.33+7.33+5.59+2.2+3.37+6.84)/9</f>
        <v>5.1399999999999988</v>
      </c>
      <c r="G11" s="16">
        <v>9</v>
      </c>
      <c r="I11" s="6" t="s">
        <v>31</v>
      </c>
      <c r="J11" s="7">
        <v>5.3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34</v>
      </c>
      <c r="J12" s="7">
        <v>4.8</v>
      </c>
    </row>
    <row r="13" spans="1:10" x14ac:dyDescent="0.2">
      <c r="A13" s="4" t="s">
        <v>32</v>
      </c>
      <c r="B13" s="21">
        <v>6.58</v>
      </c>
      <c r="C13" s="22">
        <v>1</v>
      </c>
      <c r="E13" s="4" t="s">
        <v>33</v>
      </c>
      <c r="F13" s="21" t="s">
        <v>14</v>
      </c>
      <c r="G13" s="22">
        <v>0</v>
      </c>
      <c r="I13" s="6" t="s">
        <v>37</v>
      </c>
      <c r="J13" s="7">
        <v>5</v>
      </c>
    </row>
    <row r="14" spans="1:10" x14ac:dyDescent="0.2">
      <c r="A14" s="4" t="s">
        <v>35</v>
      </c>
      <c r="B14" s="21">
        <v>4.34</v>
      </c>
      <c r="C14" s="22">
        <v>1</v>
      </c>
      <c r="E14" s="4" t="s">
        <v>36</v>
      </c>
      <c r="F14" s="21">
        <f>(5.4+8.66+6.71+5.65+5.47+5.2+5.79+6.56+4.92+0+6.35+5.03+5.91+5.57+6.6+5.37+9.24+5.12+7.36+6.42+5.47+5.53+5.72+6.11+6.48+6.12+6.21+1.87+8.07+4.88+5.94)/31</f>
        <v>5.7977419354838711</v>
      </c>
      <c r="G14" s="22">
        <v>31</v>
      </c>
      <c r="I14" s="6" t="s">
        <v>40</v>
      </c>
      <c r="J14" s="7">
        <v>5.0199999999999996</v>
      </c>
    </row>
    <row r="15" spans="1:10" x14ac:dyDescent="0.2">
      <c r="A15" s="4" t="s">
        <v>38</v>
      </c>
      <c r="B15" s="17">
        <v>1.53</v>
      </c>
      <c r="C15" s="16">
        <v>1</v>
      </c>
      <c r="E15" s="4" t="s">
        <v>39</v>
      </c>
      <c r="F15" s="17" t="s">
        <v>14</v>
      </c>
      <c r="G15" s="16">
        <v>0</v>
      </c>
      <c r="I15" s="6" t="s">
        <v>43</v>
      </c>
      <c r="J15" s="7">
        <v>5.01</v>
      </c>
    </row>
    <row r="16" spans="1:10" x14ac:dyDescent="0.2">
      <c r="A16" s="4" t="s">
        <v>41</v>
      </c>
      <c r="B16" s="17">
        <f>(1.14+4.87+5.5)/3</f>
        <v>3.8366666666666664</v>
      </c>
      <c r="C16" s="16">
        <v>3</v>
      </c>
      <c r="E16" s="4" t="s">
        <v>42</v>
      </c>
      <c r="F16" s="17">
        <v>9.18</v>
      </c>
      <c r="G16" s="16">
        <v>1</v>
      </c>
      <c r="I16" s="6" t="s">
        <v>46</v>
      </c>
      <c r="J16" s="7">
        <v>4.29</v>
      </c>
    </row>
    <row r="17" spans="1:10" x14ac:dyDescent="0.2">
      <c r="A17" s="4" t="s">
        <v>44</v>
      </c>
      <c r="B17" s="21">
        <v>5.91</v>
      </c>
      <c r="C17" s="22">
        <v>1</v>
      </c>
      <c r="E17" s="4" t="s">
        <v>45</v>
      </c>
      <c r="F17" s="21">
        <f>(8.21+7.13+8.84+7.43+9.39+6.82+8.9+9.43+18.3+0+9.29)/11</f>
        <v>8.5218181818181833</v>
      </c>
      <c r="G17" s="22">
        <v>11</v>
      </c>
      <c r="I17" s="6" t="s">
        <v>49</v>
      </c>
      <c r="J17" s="7">
        <v>4.25</v>
      </c>
    </row>
    <row r="18" spans="1:10" x14ac:dyDescent="0.2">
      <c r="A18" s="4" t="s">
        <v>47</v>
      </c>
      <c r="B18" s="21" t="s">
        <v>14</v>
      </c>
      <c r="C18" s="22">
        <v>0</v>
      </c>
      <c r="E18" s="4" t="s">
        <v>48</v>
      </c>
      <c r="F18" s="21">
        <f>(8.26+8.93+5.92+9.28+8.66+10.66+8.01+7.91+9.62+9.22+8.25+9.37+8.86+9.2+7.7+7.5+8.9+4.15+8.09+5.8+5.26+8.29+4.95+9.9+5.44)/25</f>
        <v>7.9252000000000002</v>
      </c>
      <c r="G18" s="22">
        <v>25</v>
      </c>
      <c r="I18" s="6" t="s">
        <v>52</v>
      </c>
      <c r="J18" s="7">
        <v>4.3099999999999996</v>
      </c>
    </row>
    <row r="19" spans="1:10" x14ac:dyDescent="0.2">
      <c r="A19" s="4" t="s">
        <v>50</v>
      </c>
      <c r="B19" s="17" t="s">
        <v>14</v>
      </c>
      <c r="C19" s="16">
        <v>0</v>
      </c>
      <c r="E19" s="4" t="s">
        <v>51</v>
      </c>
      <c r="F19" s="17">
        <f>(4.12+5.2+5.66+4.09)/4</f>
        <v>4.7675000000000001</v>
      </c>
      <c r="G19" s="16">
        <v>4</v>
      </c>
      <c r="I19" s="6" t="s">
        <v>55</v>
      </c>
      <c r="J19" s="7">
        <v>4.5199999999999996</v>
      </c>
    </row>
    <row r="20" spans="1:10" x14ac:dyDescent="0.2">
      <c r="A20" s="4" t="s">
        <v>53</v>
      </c>
      <c r="B20" s="17">
        <f>(2.35+6.61+7.85+5.19)/4</f>
        <v>5.5000000000000009</v>
      </c>
      <c r="C20" s="16">
        <v>4</v>
      </c>
      <c r="E20" s="4" t="s">
        <v>54</v>
      </c>
      <c r="F20" s="17">
        <f>(5.78+6.13+9.19+8.02)/4</f>
        <v>7.28</v>
      </c>
      <c r="G20" s="16">
        <v>4</v>
      </c>
      <c r="I20" s="6" t="s">
        <v>58</v>
      </c>
      <c r="J20" s="7">
        <v>3.56</v>
      </c>
    </row>
    <row r="21" spans="1:10" ht="15.75" customHeight="1" x14ac:dyDescent="0.2">
      <c r="A21" s="4" t="s">
        <v>56</v>
      </c>
      <c r="B21" s="21" t="s">
        <v>14</v>
      </c>
      <c r="C21" s="22">
        <v>0</v>
      </c>
      <c r="E21" s="4" t="s">
        <v>57</v>
      </c>
      <c r="F21" s="21">
        <f>(5.34+9.45+9.96+7.22+7.57+7.09+5.82+7.43)/8</f>
        <v>7.4849999999999994</v>
      </c>
      <c r="G21" s="22">
        <v>8</v>
      </c>
      <c r="I21" s="6" t="s">
        <v>61</v>
      </c>
      <c r="J21" s="7">
        <v>4.51</v>
      </c>
    </row>
    <row r="22" spans="1:10" ht="15.75" customHeight="1" x14ac:dyDescent="0.2">
      <c r="A22" s="4" t="s">
        <v>59</v>
      </c>
      <c r="B22" s="21" t="s">
        <v>14</v>
      </c>
      <c r="C22" s="22">
        <v>0</v>
      </c>
      <c r="E22" s="4" t="s">
        <v>60</v>
      </c>
      <c r="F22" s="21" t="s">
        <v>14</v>
      </c>
      <c r="G22" s="22">
        <v>0</v>
      </c>
      <c r="I22" s="6" t="s">
        <v>64</v>
      </c>
      <c r="J22" s="7">
        <v>5.57</v>
      </c>
    </row>
    <row r="23" spans="1:10" ht="15.75" customHeight="1" x14ac:dyDescent="0.2">
      <c r="A23" s="4" t="s">
        <v>62</v>
      </c>
      <c r="B23" s="17">
        <v>7.74</v>
      </c>
      <c r="C23" s="16">
        <v>1</v>
      </c>
      <c r="E23" s="4" t="s">
        <v>63</v>
      </c>
      <c r="F23" s="17" t="s">
        <v>14</v>
      </c>
      <c r="G23" s="16">
        <v>0</v>
      </c>
      <c r="I23" s="6" t="s">
        <v>67</v>
      </c>
      <c r="J23" s="7">
        <v>3.92</v>
      </c>
    </row>
    <row r="24" spans="1:10" ht="15.75" customHeight="1" x14ac:dyDescent="0.2">
      <c r="A24" s="4" t="s">
        <v>65</v>
      </c>
      <c r="B24" s="17" t="s">
        <v>14</v>
      </c>
      <c r="C24" s="16">
        <v>0</v>
      </c>
      <c r="E24" s="4" t="s">
        <v>66</v>
      </c>
      <c r="F24" s="17" t="s">
        <v>14</v>
      </c>
      <c r="G24" s="16">
        <v>0</v>
      </c>
      <c r="I24" s="6" t="s">
        <v>70</v>
      </c>
      <c r="J24" s="7">
        <v>4.71</v>
      </c>
    </row>
    <row r="25" spans="1:10" ht="15.75" customHeight="1" x14ac:dyDescent="0.2">
      <c r="A25" s="4" t="s">
        <v>68</v>
      </c>
      <c r="B25" s="21">
        <f>(0+5.56+6.87+7.13)/4</f>
        <v>4.8899999999999997</v>
      </c>
      <c r="C25" s="22">
        <v>4</v>
      </c>
      <c r="E25" s="4" t="s">
        <v>69</v>
      </c>
      <c r="F25" s="21">
        <f>(6.26+3.74)/2</f>
        <v>5</v>
      </c>
      <c r="G25" s="22">
        <v>2</v>
      </c>
      <c r="I25" s="6" t="s">
        <v>73</v>
      </c>
      <c r="J25" s="7">
        <v>5.48</v>
      </c>
    </row>
    <row r="26" spans="1:10" ht="15.75" customHeight="1" x14ac:dyDescent="0.2">
      <c r="A26" s="4" t="s">
        <v>71</v>
      </c>
      <c r="B26" s="21" t="s">
        <v>14</v>
      </c>
      <c r="C26" s="22">
        <v>0</v>
      </c>
      <c r="E26" s="4" t="s">
        <v>72</v>
      </c>
      <c r="F26" s="21">
        <v>6.85</v>
      </c>
      <c r="G26" s="22">
        <v>1</v>
      </c>
      <c r="I26" s="6" t="s">
        <v>76</v>
      </c>
      <c r="J26" s="7">
        <v>5.89</v>
      </c>
    </row>
    <row r="27" spans="1:10" ht="15.75" customHeight="1" x14ac:dyDescent="0.2">
      <c r="A27" s="4" t="s">
        <v>74</v>
      </c>
      <c r="B27" s="17">
        <v>4.3</v>
      </c>
      <c r="C27" s="16">
        <v>1</v>
      </c>
      <c r="E27" s="4" t="s">
        <v>75</v>
      </c>
      <c r="F27" s="17">
        <f>(0.49+3.59+5.39+5.75+5.72+4.34+6.28)/7</f>
        <v>4.508571428571428</v>
      </c>
      <c r="G27" s="16">
        <v>7</v>
      </c>
      <c r="I27" s="6" t="s">
        <v>79</v>
      </c>
      <c r="J27" s="7">
        <v>5.26</v>
      </c>
    </row>
    <row r="28" spans="1:10" ht="15.75" customHeight="1" x14ac:dyDescent="0.2">
      <c r="A28" s="4" t="s">
        <v>77</v>
      </c>
      <c r="B28" s="17">
        <f>(6.2+5.7+6.39+7.97+6.87+2.4)/6</f>
        <v>5.921666666666666</v>
      </c>
      <c r="C28" s="16">
        <v>6</v>
      </c>
      <c r="E28" s="4" t="s">
        <v>78</v>
      </c>
      <c r="F28" s="17">
        <f>(6.71+5.8+6.01+7.48+6.51+6.33+5.88+6.95+6.48+6.2+6.37+5.92+6.95+5.12+7.34+4.99)/16</f>
        <v>6.3150000000000013</v>
      </c>
      <c r="G28" s="16">
        <v>16</v>
      </c>
      <c r="I28" s="6" t="s">
        <v>82</v>
      </c>
      <c r="J28" s="7">
        <v>3.92</v>
      </c>
    </row>
    <row r="29" spans="1:10" ht="15.75" customHeight="1" x14ac:dyDescent="0.2">
      <c r="A29" s="4" t="s">
        <v>80</v>
      </c>
      <c r="B29" s="21">
        <f>(4.92+5.89+9.37)/3</f>
        <v>6.7266666666666666</v>
      </c>
      <c r="C29" s="22">
        <v>3</v>
      </c>
      <c r="E29" s="4" t="s">
        <v>81</v>
      </c>
      <c r="F29" s="21">
        <v>3.9</v>
      </c>
      <c r="G29" s="22">
        <v>1</v>
      </c>
      <c r="I29" s="6" t="s">
        <v>85</v>
      </c>
      <c r="J29" s="7">
        <v>5.59</v>
      </c>
    </row>
    <row r="30" spans="1:10" ht="15.75" customHeight="1" x14ac:dyDescent="0.2">
      <c r="A30" s="4" t="s">
        <v>83</v>
      </c>
      <c r="B30" s="21">
        <v>5.53</v>
      </c>
      <c r="C30" s="22">
        <v>1</v>
      </c>
      <c r="E30" s="4" t="s">
        <v>84</v>
      </c>
      <c r="F30" s="21">
        <f>(6.86+6.49)/2</f>
        <v>6.6750000000000007</v>
      </c>
      <c r="G30" s="22">
        <v>2</v>
      </c>
      <c r="I30" s="6" t="s">
        <v>88</v>
      </c>
      <c r="J30" s="7">
        <v>5.15</v>
      </c>
    </row>
    <row r="31" spans="1:10" ht="15.75" customHeight="1" x14ac:dyDescent="0.2">
      <c r="A31" s="4" t="s">
        <v>86</v>
      </c>
      <c r="B31" s="17">
        <f>(4.94+5.62)/2</f>
        <v>5.28</v>
      </c>
      <c r="C31" s="16">
        <v>2</v>
      </c>
      <c r="E31" s="4" t="s">
        <v>87</v>
      </c>
      <c r="F31" s="17" t="s">
        <v>14</v>
      </c>
      <c r="G31" s="16">
        <v>1</v>
      </c>
      <c r="I31" s="6" t="s">
        <v>90</v>
      </c>
      <c r="J31" s="7">
        <v>5.0999999999999996</v>
      </c>
    </row>
    <row r="32" spans="1:10" ht="15.75" customHeight="1" x14ac:dyDescent="0.2">
      <c r="A32" s="4" t="s">
        <v>64</v>
      </c>
      <c r="B32" s="17">
        <v>9.68</v>
      </c>
      <c r="C32" s="16">
        <v>1</v>
      </c>
      <c r="E32" s="4" t="s">
        <v>89</v>
      </c>
      <c r="F32" s="17">
        <f>(6.58+7.38+7.53+5.88+6.9+4.15+0.31+7.41)/8</f>
        <v>5.7675000000000001</v>
      </c>
      <c r="G32" s="16">
        <v>8</v>
      </c>
      <c r="I32" s="6" t="s">
        <v>93</v>
      </c>
      <c r="J32" s="7">
        <v>5.38</v>
      </c>
    </row>
    <row r="33" spans="1:10" ht="15.75" customHeight="1" x14ac:dyDescent="0.2">
      <c r="A33" s="4" t="s">
        <v>91</v>
      </c>
      <c r="B33" s="21" t="s">
        <v>14</v>
      </c>
      <c r="C33" s="22">
        <v>0</v>
      </c>
      <c r="E33" s="4" t="s">
        <v>92</v>
      </c>
      <c r="F33" s="21">
        <f>(9.12+4.37+9.58)/3</f>
        <v>7.69</v>
      </c>
      <c r="G33" s="22">
        <v>3</v>
      </c>
      <c r="I33" s="6" t="s">
        <v>96</v>
      </c>
      <c r="J33" s="7">
        <v>4.59</v>
      </c>
    </row>
    <row r="34" spans="1:10" ht="15.75" customHeight="1" x14ac:dyDescent="0.2">
      <c r="A34" s="4" t="s">
        <v>94</v>
      </c>
      <c r="B34" s="18" t="s">
        <v>14</v>
      </c>
      <c r="C34" s="19">
        <v>0</v>
      </c>
      <c r="E34" s="4" t="s">
        <v>95</v>
      </c>
      <c r="F34" s="21">
        <v>4.1500000000000004</v>
      </c>
      <c r="G34" s="22">
        <v>1</v>
      </c>
      <c r="I34" s="6" t="s">
        <v>99</v>
      </c>
      <c r="J34" s="7">
        <v>5.16</v>
      </c>
    </row>
    <row r="35" spans="1:10" ht="15.75" customHeight="1" x14ac:dyDescent="0.2">
      <c r="A35" s="4" t="s">
        <v>97</v>
      </c>
      <c r="B35" s="17" t="s">
        <v>14</v>
      </c>
      <c r="C35" s="16">
        <v>0</v>
      </c>
      <c r="E35" s="4" t="s">
        <v>98</v>
      </c>
      <c r="F35" s="17">
        <f>(6.11+8.09)/2</f>
        <v>7.1</v>
      </c>
      <c r="G35" s="16">
        <v>2</v>
      </c>
      <c r="I35" s="6" t="s">
        <v>102</v>
      </c>
      <c r="J35" s="7">
        <v>5.01</v>
      </c>
    </row>
    <row r="36" spans="1:10" ht="15.75" customHeight="1" x14ac:dyDescent="0.2">
      <c r="A36" s="4" t="s">
        <v>100</v>
      </c>
      <c r="B36" s="17" t="s">
        <v>14</v>
      </c>
      <c r="C36" s="16">
        <v>0</v>
      </c>
      <c r="E36" s="4" t="s">
        <v>101</v>
      </c>
      <c r="F36" s="17">
        <f>(7.77+5.43+8.15+8.44)/4</f>
        <v>7.4474999999999998</v>
      </c>
      <c r="G36" s="16">
        <v>4</v>
      </c>
      <c r="I36" s="6" t="s">
        <v>104</v>
      </c>
      <c r="J36" s="7">
        <v>5.0599999999999996</v>
      </c>
    </row>
    <row r="37" spans="1:10" ht="15.75" customHeight="1" x14ac:dyDescent="0.2">
      <c r="A37" s="4" t="s">
        <v>103</v>
      </c>
      <c r="B37" s="21">
        <v>2.71</v>
      </c>
      <c r="C37" s="22">
        <v>1</v>
      </c>
      <c r="I37" s="6" t="s">
        <v>105</v>
      </c>
      <c r="J37" s="7">
        <v>5.18</v>
      </c>
    </row>
    <row r="38" spans="1:10" ht="15.75" customHeight="1" x14ac:dyDescent="0.2">
      <c r="I38" s="6" t="s">
        <v>106</v>
      </c>
      <c r="J38" s="7">
        <v>4.9000000000000004</v>
      </c>
    </row>
    <row r="39" spans="1:10" ht="15.75" customHeight="1" x14ac:dyDescent="0.2">
      <c r="I39" s="6" t="s">
        <v>107</v>
      </c>
      <c r="J39" s="7">
        <v>5.23</v>
      </c>
    </row>
    <row r="40" spans="1:10" ht="15.75" customHeight="1" x14ac:dyDescent="0.2">
      <c r="I40" s="6" t="s">
        <v>108</v>
      </c>
      <c r="J40" s="7">
        <v>4.74</v>
      </c>
    </row>
    <row r="41" spans="1:10" ht="15.75" customHeight="1" x14ac:dyDescent="0.2">
      <c r="I41" s="6" t="s">
        <v>109</v>
      </c>
      <c r="J41" s="7">
        <v>4.45</v>
      </c>
    </row>
    <row r="42" spans="1:10" ht="15.75" customHeight="1" x14ac:dyDescent="0.2">
      <c r="I42" s="6" t="s">
        <v>110</v>
      </c>
      <c r="J42" s="7">
        <v>4.6399999999999997</v>
      </c>
    </row>
    <row r="43" spans="1:10" ht="15.75" customHeight="1" x14ac:dyDescent="0.2">
      <c r="I43" s="6" t="s">
        <v>111</v>
      </c>
      <c r="J43" s="7">
        <v>5.52</v>
      </c>
    </row>
    <row r="44" spans="1:10" ht="15.75" customHeight="1" x14ac:dyDescent="0.2">
      <c r="I44" s="6" t="s">
        <v>112</v>
      </c>
      <c r="J44" s="7">
        <v>5.12</v>
      </c>
    </row>
    <row r="45" spans="1:10" ht="15.75" customHeight="1" x14ac:dyDescent="0.2">
      <c r="I45" s="6" t="s">
        <v>113</v>
      </c>
      <c r="J45" s="7">
        <v>4.68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tabSelected="1" workbookViewId="0">
      <selection activeCell="S35" sqref="S35"/>
    </sheetView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6" t="s">
        <v>0</v>
      </c>
      <c r="B1" s="37"/>
      <c r="C1" s="37"/>
      <c r="D1" s="37"/>
      <c r="E1" s="37"/>
      <c r="F1" s="37"/>
      <c r="G1" s="37"/>
      <c r="H1" s="37"/>
    </row>
    <row r="2" spans="1:10" x14ac:dyDescent="0.2">
      <c r="A2" s="38" t="s">
        <v>119</v>
      </c>
      <c r="B2" s="37"/>
      <c r="C2" s="37"/>
      <c r="D2" s="37"/>
      <c r="E2" s="37"/>
      <c r="F2" s="37"/>
      <c r="G2" s="37"/>
      <c r="H2" s="37"/>
    </row>
    <row r="3" spans="1:10" ht="60" customHeight="1" x14ac:dyDescent="0.2">
      <c r="B3" s="3" t="s">
        <v>2</v>
      </c>
      <c r="C3" s="1" t="s">
        <v>3</v>
      </c>
      <c r="F3" s="3" t="s">
        <v>2</v>
      </c>
      <c r="G3" s="1" t="s">
        <v>3</v>
      </c>
      <c r="I3" s="34" t="s">
        <v>120</v>
      </c>
      <c r="J3" s="35"/>
    </row>
    <row r="4" spans="1:10" x14ac:dyDescent="0.2">
      <c r="A4" s="4" t="s">
        <v>4</v>
      </c>
      <c r="B4" s="7">
        <v>8.23</v>
      </c>
      <c r="C4" s="6">
        <v>1</v>
      </c>
      <c r="E4" s="4" t="s">
        <v>5</v>
      </c>
      <c r="F4" s="7">
        <f>(5.59+7.26+6.1)/3</f>
        <v>6.3166666666666664</v>
      </c>
      <c r="G4" s="6">
        <v>3</v>
      </c>
      <c r="I4" s="6" t="s">
        <v>9</v>
      </c>
      <c r="J4" s="7">
        <v>3.82</v>
      </c>
    </row>
    <row r="5" spans="1:10" x14ac:dyDescent="0.2">
      <c r="A5" s="4" t="s">
        <v>7</v>
      </c>
      <c r="B5" s="7">
        <f>(11.27+11.67+9.65+11.73+8.32+9.95+11.67+11.69+9.6+5.71+9.06+12.96+10.89+11.25+10.62+7.68+7.27+5.55+7.55+8.15+9.96+6.9+7.87+14.31+10.27+12.83+10.5+9.92+12.01+9.71+11.66+10.61+13.42+9.12+10.85+8.1+10.26+9.63+11.85+9.35+12.47+10.26+11.55+9.33+2.23)/45</f>
        <v>9.9380000000000042</v>
      </c>
      <c r="C5" s="6">
        <v>45</v>
      </c>
      <c r="E5" s="4" t="s">
        <v>8</v>
      </c>
      <c r="F5" s="7">
        <f>(6.12+9.94+7.86+10.31)/4</f>
        <v>8.5574999999999992</v>
      </c>
      <c r="G5" s="6">
        <v>4</v>
      </c>
      <c r="I5" s="6" t="s">
        <v>12</v>
      </c>
      <c r="J5" s="7">
        <v>3.92</v>
      </c>
    </row>
    <row r="6" spans="1:10" x14ac:dyDescent="0.2">
      <c r="A6" s="4" t="s">
        <v>10</v>
      </c>
      <c r="B6" s="11">
        <v>7.06</v>
      </c>
      <c r="C6" s="10">
        <v>1</v>
      </c>
      <c r="E6" s="4" t="s">
        <v>11</v>
      </c>
      <c r="F6" s="11">
        <f>(11.73+8.09+12.36+13.8+12.44+11.04+13.12+10.99+12.31+11.6+13.06+13.36+15.24+12.21+13.81)/15</f>
        <v>12.343999999999999</v>
      </c>
      <c r="G6" s="10">
        <v>15</v>
      </c>
      <c r="I6" s="6" t="s">
        <v>16</v>
      </c>
      <c r="J6" s="7">
        <v>4.33</v>
      </c>
    </row>
    <row r="7" spans="1:10" x14ac:dyDescent="0.2">
      <c r="A7" s="4" t="s">
        <v>13</v>
      </c>
      <c r="B7" s="5">
        <v>7.06</v>
      </c>
      <c r="C7" s="6">
        <v>1</v>
      </c>
      <c r="E7" s="4" t="s">
        <v>15</v>
      </c>
      <c r="F7" s="12">
        <v>9.65</v>
      </c>
      <c r="G7" s="13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7">
        <f>(11.8+11.5+13.39+5.54+12.41+11)/6</f>
        <v>10.94</v>
      </c>
      <c r="C8" s="6">
        <v>6</v>
      </c>
      <c r="E8" s="4" t="s">
        <v>18</v>
      </c>
      <c r="F8" s="7">
        <f>(7.21+4.94+6.29+6.65+4.54+1.38)/6</f>
        <v>5.1683333333333339</v>
      </c>
      <c r="G8" s="6">
        <v>6</v>
      </c>
      <c r="I8" s="6" t="s">
        <v>22</v>
      </c>
      <c r="J8" s="7">
        <v>3.89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11">
        <f>(9.49+2.96+8.56+9.66)/4</f>
        <v>7.6674999999999995</v>
      </c>
      <c r="G9" s="10">
        <v>4</v>
      </c>
      <c r="I9" s="6" t="s">
        <v>25</v>
      </c>
      <c r="J9" s="7">
        <v>4</v>
      </c>
    </row>
    <row r="10" spans="1:10" x14ac:dyDescent="0.2">
      <c r="A10" s="4" t="s">
        <v>23</v>
      </c>
      <c r="B10" s="9">
        <f>(4.85+7.45+6.13+7.76+12.38)/5</f>
        <v>7.7140000000000004</v>
      </c>
      <c r="C10" s="10">
        <v>5</v>
      </c>
      <c r="E10" s="4" t="s">
        <v>24</v>
      </c>
      <c r="F10" s="11">
        <f>(8.55+7.8+8.29+7.55+7.12)/5</f>
        <v>7.8619999999999992</v>
      </c>
      <c r="G10" s="10">
        <v>5</v>
      </c>
      <c r="I10" s="6" t="s">
        <v>28</v>
      </c>
      <c r="J10" s="7">
        <v>5.16</v>
      </c>
    </row>
    <row r="11" spans="1:10" x14ac:dyDescent="0.2">
      <c r="A11" s="4" t="s">
        <v>26</v>
      </c>
      <c r="B11" s="7">
        <f>(12.84+12.16+11.6)/3</f>
        <v>12.200000000000001</v>
      </c>
      <c r="C11" s="6">
        <v>3</v>
      </c>
      <c r="E11" s="4" t="s">
        <v>27</v>
      </c>
      <c r="F11" s="7">
        <f>(10.12+8.52+8.83+9.27+10.57+9.65+9.43)/7</f>
        <v>9.4842857142857131</v>
      </c>
      <c r="G11" s="6">
        <v>7</v>
      </c>
      <c r="I11" s="6" t="s">
        <v>31</v>
      </c>
      <c r="J11" s="7">
        <v>5.81</v>
      </c>
    </row>
    <row r="12" spans="1:10" x14ac:dyDescent="0.2">
      <c r="A12" s="4" t="s">
        <v>29</v>
      </c>
      <c r="B12" s="5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5.04</v>
      </c>
    </row>
    <row r="13" spans="1:10" x14ac:dyDescent="0.2">
      <c r="A13" s="4" t="s">
        <v>32</v>
      </c>
      <c r="B13" s="9">
        <v>11.2</v>
      </c>
      <c r="C13" s="10">
        <v>1</v>
      </c>
      <c r="E13" s="4" t="s">
        <v>33</v>
      </c>
      <c r="F13" s="9" t="s">
        <v>14</v>
      </c>
      <c r="G13" s="10">
        <v>0</v>
      </c>
      <c r="I13" s="6" t="s">
        <v>37</v>
      </c>
      <c r="J13" s="7">
        <v>2.62</v>
      </c>
    </row>
    <row r="14" spans="1:10" x14ac:dyDescent="0.2">
      <c r="A14" s="4" t="s">
        <v>35</v>
      </c>
      <c r="B14" s="11">
        <v>11.21</v>
      </c>
      <c r="C14" s="10">
        <v>1</v>
      </c>
      <c r="E14" s="4" t="s">
        <v>36</v>
      </c>
      <c r="F14" s="11">
        <f>(10.63+9.39+10.94+9.97+9.69+11.78+10+10.26+12.42+6.16+12.36+10.46+10.67+12.04+12.14+10.59+9.87+11.2+12.22+11.02+10.76+11.76+11.65+11.81+11.27+11.09+3.78+9.65+10.14+10.79+10.9)/31</f>
        <v>10.561612903225802</v>
      </c>
      <c r="G14" s="10">
        <v>31</v>
      </c>
      <c r="I14" s="6" t="s">
        <v>40</v>
      </c>
      <c r="J14" s="7">
        <v>4.2300000000000004</v>
      </c>
    </row>
    <row r="15" spans="1:10" x14ac:dyDescent="0.2">
      <c r="A15" s="4" t="s">
        <v>38</v>
      </c>
      <c r="B15" s="5">
        <v>5.85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5.79</v>
      </c>
    </row>
    <row r="16" spans="1:10" x14ac:dyDescent="0.2">
      <c r="A16" s="4" t="s">
        <v>41</v>
      </c>
      <c r="B16" s="5">
        <f>(4.16+10.35+1.1)/3</f>
        <v>5.2033333333333331</v>
      </c>
      <c r="C16" s="6">
        <v>3</v>
      </c>
      <c r="E16" s="4" t="s">
        <v>42</v>
      </c>
      <c r="F16" s="7">
        <v>8.3800000000000008</v>
      </c>
      <c r="G16" s="6">
        <v>1</v>
      </c>
      <c r="I16" s="6" t="s">
        <v>46</v>
      </c>
      <c r="J16" s="7">
        <v>3.97</v>
      </c>
    </row>
    <row r="17" spans="1:10" x14ac:dyDescent="0.2">
      <c r="A17" s="4" t="s">
        <v>44</v>
      </c>
      <c r="B17" s="9">
        <v>12.22</v>
      </c>
      <c r="C17" s="10">
        <v>1</v>
      </c>
      <c r="E17" s="4" t="s">
        <v>45</v>
      </c>
      <c r="F17" s="11">
        <f>(13+14.13+12.34+10.7+11.08+12.91+7.83+13.1+0+13.4)/10</f>
        <v>10.849</v>
      </c>
      <c r="G17" s="10">
        <v>10</v>
      </c>
      <c r="I17" s="6" t="s">
        <v>49</v>
      </c>
      <c r="J17" s="7">
        <v>3.6</v>
      </c>
    </row>
    <row r="18" spans="1:10" x14ac:dyDescent="0.2">
      <c r="A18" s="4" t="s">
        <v>47</v>
      </c>
      <c r="B18" s="9" t="s">
        <v>14</v>
      </c>
      <c r="C18" s="10">
        <v>0</v>
      </c>
      <c r="E18" s="4" t="s">
        <v>48</v>
      </c>
      <c r="F18" s="11">
        <f>(10.73+13.71+9.79+15.66+10.1+11.08+10.44+13.22+15.37+12.98+9.36+10.77+13.97+11.09+10.37+11.02+11.97+13.13+9.68+10.38+11.66+6.07+3.96)/23</f>
        <v>11.152608695652173</v>
      </c>
      <c r="G18" s="10">
        <v>23</v>
      </c>
      <c r="I18" s="6" t="s">
        <v>52</v>
      </c>
      <c r="J18" s="7">
        <v>4.41</v>
      </c>
    </row>
    <row r="19" spans="1:10" x14ac:dyDescent="0.2">
      <c r="A19" s="4" t="s">
        <v>50</v>
      </c>
      <c r="B19" s="5" t="s">
        <v>14</v>
      </c>
      <c r="C19" s="6">
        <v>0</v>
      </c>
      <c r="E19" s="4" t="s">
        <v>51</v>
      </c>
      <c r="F19" s="7">
        <f>(8.51+9.2+10.13+8.51)/4</f>
        <v>9.0875000000000004</v>
      </c>
      <c r="G19" s="6">
        <v>4</v>
      </c>
      <c r="I19" s="6" t="s">
        <v>55</v>
      </c>
      <c r="J19" s="7">
        <v>4.42</v>
      </c>
    </row>
    <row r="20" spans="1:10" x14ac:dyDescent="0.2">
      <c r="A20" s="4" t="s">
        <v>53</v>
      </c>
      <c r="B20" s="7">
        <f>(0+8.32+7+10.36+2.49)/5</f>
        <v>5.6340000000000003</v>
      </c>
      <c r="C20" s="6">
        <v>5</v>
      </c>
      <c r="E20" s="4" t="s">
        <v>54</v>
      </c>
      <c r="F20" s="7">
        <f>(11.54+11.98+11.18+12.55)/4</f>
        <v>11.8125</v>
      </c>
      <c r="G20" s="6">
        <v>4</v>
      </c>
      <c r="I20" s="6" t="s">
        <v>58</v>
      </c>
      <c r="J20" s="7">
        <v>3.26</v>
      </c>
    </row>
    <row r="21" spans="1:10" ht="15.75" customHeight="1" x14ac:dyDescent="0.2">
      <c r="A21" s="4" t="s">
        <v>56</v>
      </c>
      <c r="B21" s="9" t="s">
        <v>14</v>
      </c>
      <c r="C21" s="10">
        <v>0</v>
      </c>
      <c r="E21" s="4" t="s">
        <v>57</v>
      </c>
      <c r="F21" s="11">
        <f>(8.71+8.61+12.34+11.71+10.28+10.02+9.97+11.25)/8</f>
        <v>10.36125</v>
      </c>
      <c r="G21" s="10">
        <v>8</v>
      </c>
      <c r="I21" s="6" t="s">
        <v>61</v>
      </c>
      <c r="J21" s="7">
        <v>4.5199999999999996</v>
      </c>
    </row>
    <row r="22" spans="1:10" ht="15.75" customHeight="1" x14ac:dyDescent="0.2">
      <c r="A22" s="4" t="s">
        <v>59</v>
      </c>
      <c r="B22" s="9" t="s">
        <v>14</v>
      </c>
      <c r="C22" s="10">
        <v>0</v>
      </c>
      <c r="E22" s="4" t="s">
        <v>60</v>
      </c>
      <c r="F22" s="9" t="s">
        <v>14</v>
      </c>
      <c r="G22" s="10">
        <v>0</v>
      </c>
      <c r="I22" s="6" t="s">
        <v>64</v>
      </c>
      <c r="J22" s="7">
        <v>4.53</v>
      </c>
    </row>
    <row r="23" spans="1:10" ht="15.75" customHeight="1" x14ac:dyDescent="0.2">
      <c r="A23" s="4" t="s">
        <v>62</v>
      </c>
      <c r="B23" s="5">
        <v>6.22</v>
      </c>
      <c r="C23" s="6">
        <v>1</v>
      </c>
      <c r="E23" s="4" t="s">
        <v>63</v>
      </c>
      <c r="F23" s="5" t="s">
        <v>14</v>
      </c>
      <c r="G23" s="6">
        <v>0</v>
      </c>
      <c r="I23" s="6" t="s">
        <v>67</v>
      </c>
      <c r="J23" s="7">
        <v>3.68</v>
      </c>
    </row>
    <row r="24" spans="1:10" ht="15.75" customHeight="1" x14ac:dyDescent="0.2">
      <c r="A24" s="4" t="s">
        <v>65</v>
      </c>
      <c r="B24" s="5" t="s">
        <v>14</v>
      </c>
      <c r="C24" s="6">
        <v>0</v>
      </c>
      <c r="E24" s="4" t="s">
        <v>66</v>
      </c>
      <c r="F24" s="5" t="s">
        <v>14</v>
      </c>
      <c r="G24" s="6">
        <v>0</v>
      </c>
      <c r="I24" s="6" t="s">
        <v>70</v>
      </c>
      <c r="J24" s="7">
        <v>3.94</v>
      </c>
    </row>
    <row r="25" spans="1:10" ht="15.75" customHeight="1" x14ac:dyDescent="0.2">
      <c r="A25" s="4" t="s">
        <v>68</v>
      </c>
      <c r="B25" s="11">
        <f>(1.75+6.35+8.74+2.2)/4</f>
        <v>4.76</v>
      </c>
      <c r="C25" s="10">
        <v>4</v>
      </c>
      <c r="E25" s="4" t="s">
        <v>69</v>
      </c>
      <c r="F25" s="11">
        <f>(11.37+13.72)/2</f>
        <v>12.545</v>
      </c>
      <c r="G25" s="10">
        <v>2</v>
      </c>
      <c r="I25" s="6" t="s">
        <v>73</v>
      </c>
      <c r="J25" s="7">
        <v>6.22</v>
      </c>
    </row>
    <row r="26" spans="1:10" ht="15.75" customHeight="1" x14ac:dyDescent="0.2">
      <c r="A26" s="4" t="s">
        <v>71</v>
      </c>
      <c r="B26" s="9">
        <v>4.07</v>
      </c>
      <c r="C26" s="10">
        <v>1</v>
      </c>
      <c r="E26" s="4" t="s">
        <v>72</v>
      </c>
      <c r="F26" s="11">
        <v>6.35</v>
      </c>
      <c r="G26" s="10">
        <v>1</v>
      </c>
      <c r="I26" s="6" t="s">
        <v>76</v>
      </c>
      <c r="J26" s="7">
        <v>6.3</v>
      </c>
    </row>
    <row r="27" spans="1:10" ht="15.75" customHeight="1" x14ac:dyDescent="0.2">
      <c r="A27" s="4" t="s">
        <v>74</v>
      </c>
      <c r="B27" s="7">
        <v>10.97</v>
      </c>
      <c r="C27" s="6">
        <v>1</v>
      </c>
      <c r="E27" s="4" t="s">
        <v>75</v>
      </c>
      <c r="F27" s="7">
        <f>(11.05+10.8+13.69+12.97+11.02+12.78+14.02)/7</f>
        <v>12.332857142857142</v>
      </c>
      <c r="G27" s="6">
        <v>7</v>
      </c>
      <c r="I27" s="6" t="s">
        <v>79</v>
      </c>
      <c r="J27" s="7">
        <v>4.95</v>
      </c>
    </row>
    <row r="28" spans="1:10" ht="15.75" customHeight="1" x14ac:dyDescent="0.2">
      <c r="A28" s="4" t="s">
        <v>77</v>
      </c>
      <c r="B28" s="7">
        <f>(10.33+9.67+18.23+11.1+10.89+9.62)/6</f>
        <v>11.64</v>
      </c>
      <c r="C28" s="6">
        <v>6</v>
      </c>
      <c r="E28" s="4" t="s">
        <v>78</v>
      </c>
      <c r="F28" s="12">
        <f>(17.04+3.57+12.28+12.63+12.57+16.04+11.47+13.8+14.41+14.85+13.15+17.94+11.48+3.48+10.87+14.98)/16</f>
        <v>12.534999999999998</v>
      </c>
      <c r="G28" s="6">
        <v>16</v>
      </c>
      <c r="I28" s="6" t="s">
        <v>82</v>
      </c>
      <c r="J28" s="7">
        <v>3.63</v>
      </c>
    </row>
    <row r="29" spans="1:10" ht="15.75" customHeight="1" x14ac:dyDescent="0.2">
      <c r="A29" s="4" t="s">
        <v>80</v>
      </c>
      <c r="B29" s="11">
        <f>(11.58+10.16)/2</f>
        <v>10.870000000000001</v>
      </c>
      <c r="C29" s="10">
        <v>2</v>
      </c>
      <c r="E29" s="4" t="s">
        <v>81</v>
      </c>
      <c r="F29" s="9">
        <v>13.87</v>
      </c>
      <c r="G29" s="10">
        <v>1</v>
      </c>
      <c r="I29" s="6" t="s">
        <v>85</v>
      </c>
      <c r="J29" s="7">
        <v>5.35</v>
      </c>
    </row>
    <row r="30" spans="1:10" ht="15.75" customHeight="1" x14ac:dyDescent="0.2">
      <c r="A30" s="4" t="s">
        <v>83</v>
      </c>
      <c r="B30" s="11">
        <v>6.39</v>
      </c>
      <c r="C30" s="10">
        <v>1</v>
      </c>
      <c r="E30" s="4" t="s">
        <v>84</v>
      </c>
      <c r="F30" s="11">
        <f>(10.59+10.04)/2</f>
        <v>10.315</v>
      </c>
      <c r="G30" s="10">
        <v>2</v>
      </c>
      <c r="I30" s="6" t="s">
        <v>88</v>
      </c>
      <c r="J30" s="7">
        <v>4.2699999999999996</v>
      </c>
    </row>
    <row r="31" spans="1:10" ht="15.75" customHeight="1" x14ac:dyDescent="0.2">
      <c r="A31" s="4" t="s">
        <v>86</v>
      </c>
      <c r="B31" s="5">
        <f>(14.11+9.49)/2</f>
        <v>11.8</v>
      </c>
      <c r="C31" s="6">
        <v>2</v>
      </c>
      <c r="E31" s="4" t="s">
        <v>87</v>
      </c>
      <c r="F31" s="7">
        <v>12.04</v>
      </c>
      <c r="G31" s="6">
        <v>1</v>
      </c>
      <c r="I31" s="6" t="s">
        <v>90</v>
      </c>
      <c r="J31" s="7">
        <v>4.92</v>
      </c>
    </row>
    <row r="32" spans="1:10" ht="15.75" customHeight="1" x14ac:dyDescent="0.2">
      <c r="A32" s="4" t="s">
        <v>64</v>
      </c>
      <c r="B32" s="7">
        <v>9.66</v>
      </c>
      <c r="C32" s="6">
        <v>1</v>
      </c>
      <c r="E32" s="4" t="s">
        <v>89</v>
      </c>
      <c r="F32" s="7">
        <f>(14.43+13.74+14.93+11.66+9.77+6.7+11.73)/7</f>
        <v>11.851428571428572</v>
      </c>
      <c r="G32" s="6">
        <v>7</v>
      </c>
      <c r="I32" s="6" t="s">
        <v>93</v>
      </c>
      <c r="J32" s="7">
        <v>5.37</v>
      </c>
    </row>
    <row r="33" spans="1:10" ht="15.75" customHeight="1" x14ac:dyDescent="0.2">
      <c r="A33" s="4" t="s">
        <v>91</v>
      </c>
      <c r="B33" s="9" t="s">
        <v>14</v>
      </c>
      <c r="C33" s="10">
        <v>0</v>
      </c>
      <c r="E33" s="4" t="s">
        <v>92</v>
      </c>
      <c r="F33" s="9">
        <f>(10.36+8.14)/2</f>
        <v>9.25</v>
      </c>
      <c r="G33" s="10">
        <v>2</v>
      </c>
      <c r="I33" s="6" t="s">
        <v>96</v>
      </c>
      <c r="J33" s="7">
        <v>4.04</v>
      </c>
    </row>
    <row r="34" spans="1:10" ht="15.75" customHeight="1" x14ac:dyDescent="0.2">
      <c r="A34" s="4" t="s">
        <v>94</v>
      </c>
      <c r="B34" s="9" t="s">
        <v>14</v>
      </c>
      <c r="C34" s="10">
        <v>0</v>
      </c>
      <c r="E34" s="4" t="s">
        <v>95</v>
      </c>
      <c r="F34" s="11">
        <v>10.029999999999999</v>
      </c>
      <c r="G34" s="10">
        <v>1</v>
      </c>
      <c r="I34" s="6" t="s">
        <v>99</v>
      </c>
      <c r="J34" s="7">
        <v>5.65</v>
      </c>
    </row>
    <row r="35" spans="1:10" ht="15.75" customHeight="1" x14ac:dyDescent="0.2">
      <c r="A35" s="4" t="s">
        <v>97</v>
      </c>
      <c r="B35" s="5" t="s">
        <v>14</v>
      </c>
      <c r="C35" s="6">
        <v>0</v>
      </c>
      <c r="E35" s="4" t="s">
        <v>98</v>
      </c>
      <c r="F35" s="7">
        <f>(11.19+10.59)/2</f>
        <v>10.89</v>
      </c>
      <c r="G35" s="6">
        <v>2</v>
      </c>
      <c r="I35" s="6" t="s">
        <v>102</v>
      </c>
      <c r="J35" s="7">
        <v>4.7300000000000004</v>
      </c>
    </row>
    <row r="36" spans="1:10" ht="15.75" customHeight="1" x14ac:dyDescent="0.2">
      <c r="A36" s="4" t="s">
        <v>100</v>
      </c>
      <c r="B36" s="5" t="s">
        <v>14</v>
      </c>
      <c r="C36" s="6">
        <v>0</v>
      </c>
      <c r="E36" s="4" t="s">
        <v>101</v>
      </c>
      <c r="F36" s="7">
        <f>(9.93+9.08+8.77+9.76)/4</f>
        <v>9.3849999999999998</v>
      </c>
      <c r="G36" s="6">
        <v>4</v>
      </c>
      <c r="I36" s="6" t="s">
        <v>104</v>
      </c>
      <c r="J36" s="7">
        <v>3.67</v>
      </c>
    </row>
    <row r="37" spans="1:10" ht="15.75" customHeight="1" x14ac:dyDescent="0.2">
      <c r="A37" s="4" t="s">
        <v>103</v>
      </c>
      <c r="B37" s="9">
        <v>6.32</v>
      </c>
      <c r="C37" s="10">
        <v>1</v>
      </c>
      <c r="I37" s="6" t="s">
        <v>105</v>
      </c>
      <c r="J37" s="7">
        <v>3.95</v>
      </c>
    </row>
    <row r="38" spans="1:10" ht="15.75" customHeight="1" x14ac:dyDescent="0.2">
      <c r="I38" s="6" t="s">
        <v>106</v>
      </c>
      <c r="J38" s="7">
        <v>3.46</v>
      </c>
    </row>
    <row r="39" spans="1:10" ht="15.75" customHeight="1" x14ac:dyDescent="0.2">
      <c r="I39" s="6" t="s">
        <v>107</v>
      </c>
      <c r="J39" s="7">
        <v>4.1900000000000004</v>
      </c>
    </row>
    <row r="40" spans="1:10" ht="15.75" customHeight="1" x14ac:dyDescent="0.2">
      <c r="I40" s="6" t="s">
        <v>108</v>
      </c>
      <c r="J40" s="7">
        <v>4.26</v>
      </c>
    </row>
    <row r="41" spans="1:10" ht="15.75" customHeight="1" x14ac:dyDescent="0.2">
      <c r="I41" s="6" t="s">
        <v>109</v>
      </c>
      <c r="J41" s="7">
        <v>4.08</v>
      </c>
    </row>
    <row r="42" spans="1:10" ht="15.75" customHeight="1" x14ac:dyDescent="0.2">
      <c r="I42" s="6" t="s">
        <v>110</v>
      </c>
      <c r="J42" s="7">
        <v>4.13</v>
      </c>
    </row>
    <row r="43" spans="1:10" ht="15.75" customHeight="1" x14ac:dyDescent="0.2">
      <c r="I43" s="6" t="s">
        <v>111</v>
      </c>
      <c r="J43" s="7">
        <v>5.58</v>
      </c>
    </row>
    <row r="44" spans="1:10" ht="15.75" customHeight="1" x14ac:dyDescent="0.2">
      <c r="I44" s="6" t="s">
        <v>112</v>
      </c>
      <c r="J44" s="7">
        <v>4.26</v>
      </c>
    </row>
    <row r="45" spans="1:10" ht="15.75" customHeight="1" x14ac:dyDescent="0.2">
      <c r="I45" s="6" t="s">
        <v>113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H1"/>
    <mergeCell ref="A2:H2"/>
    <mergeCell ref="I3:J3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121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122</v>
      </c>
    </row>
    <row r="4" spans="1:10" x14ac:dyDescent="0.2">
      <c r="A4" s="4" t="s">
        <v>4</v>
      </c>
      <c r="B4" s="24" t="s">
        <v>14</v>
      </c>
      <c r="C4" s="6">
        <v>0</v>
      </c>
      <c r="E4" s="4" t="s">
        <v>5</v>
      </c>
      <c r="F4" s="5">
        <f>(4.85+3.32+0.16)/3</f>
        <v>2.7766666666666668</v>
      </c>
      <c r="G4" s="6">
        <v>3</v>
      </c>
      <c r="I4" s="6" t="s">
        <v>9</v>
      </c>
      <c r="J4" s="7">
        <v>5.2</v>
      </c>
    </row>
    <row r="5" spans="1:10" x14ac:dyDescent="0.2">
      <c r="A5" s="4" t="s">
        <v>7</v>
      </c>
      <c r="B5" s="9">
        <f>(11.9+7.63+9.01+12.65+6.25+7.99+7.56+8.38+9.57+13.98+4.8+5.52+13.47+16.77+8.21+3.98+3.24+4.16+6.22+3.39+8.47+8.08+5.09+15.13+6.85+14.67+7.98+12.58+6.2+9.23+10.08+8.21+5.21+11.06+8.19+6.62+10.53+4.22+13.47+11.87+9.53+8.32+5.67)/43</f>
        <v>8.6497674418604635</v>
      </c>
      <c r="C5" s="10">
        <v>43</v>
      </c>
      <c r="E5" s="4" t="s">
        <v>8</v>
      </c>
      <c r="F5" s="9">
        <f>(1.72+1.98+2.74+1.7+3.99+0.86)/6</f>
        <v>2.165</v>
      </c>
      <c r="G5" s="10">
        <v>6</v>
      </c>
      <c r="I5" s="6" t="s">
        <v>12</v>
      </c>
      <c r="J5" s="7">
        <v>4.3600000000000003</v>
      </c>
    </row>
    <row r="6" spans="1:10" x14ac:dyDescent="0.2">
      <c r="A6" s="4" t="s">
        <v>10</v>
      </c>
      <c r="B6" s="9">
        <f>(0+2.74)/2</f>
        <v>1.37</v>
      </c>
      <c r="C6" s="10">
        <v>2</v>
      </c>
      <c r="E6" s="4" t="s">
        <v>11</v>
      </c>
      <c r="F6" s="9">
        <f>(2.44+4.53+3.15+2.76+5.67+4.16+4.78+2.41+3.13+6.07+4.05+3.05+4.53+2.46+1.61)/15</f>
        <v>3.6533333333333333</v>
      </c>
      <c r="G6" s="10">
        <v>15</v>
      </c>
      <c r="I6" s="6" t="s">
        <v>16</v>
      </c>
      <c r="J6" s="7">
        <v>4.45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2.21</v>
      </c>
      <c r="G7" s="6">
        <v>1</v>
      </c>
      <c r="I7" s="6" t="s">
        <v>19</v>
      </c>
      <c r="J7" s="7">
        <v>4.88</v>
      </c>
    </row>
    <row r="8" spans="1:10" x14ac:dyDescent="0.2">
      <c r="A8" s="4" t="s">
        <v>17</v>
      </c>
      <c r="B8" s="24">
        <f>(3.44+5.74+2.8+2.34+5.93+3.1)/6</f>
        <v>3.8916666666666671</v>
      </c>
      <c r="C8" s="6">
        <v>6</v>
      </c>
      <c r="E8" s="4" t="s">
        <v>18</v>
      </c>
      <c r="F8" s="5">
        <f>(1.8+2.59+3.45+1.71+3.49+2.53+3.12+2.45)/8</f>
        <v>2.6425000000000001</v>
      </c>
      <c r="G8" s="6">
        <v>8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9">
        <f>(2.39+1.74+4.09+2.84)/4</f>
        <v>2.7649999999999997</v>
      </c>
      <c r="G9" s="10">
        <v>4</v>
      </c>
      <c r="I9" s="6" t="s">
        <v>25</v>
      </c>
      <c r="J9" s="7">
        <v>4.3499999999999996</v>
      </c>
    </row>
    <row r="10" spans="1:10" x14ac:dyDescent="0.2">
      <c r="A10" s="4" t="s">
        <v>23</v>
      </c>
      <c r="B10" s="9">
        <f>(3.18+2.88+2.72+6.57+4.7)/5</f>
        <v>4.01</v>
      </c>
      <c r="C10" s="10">
        <v>5</v>
      </c>
      <c r="E10" s="4" t="s">
        <v>24</v>
      </c>
      <c r="F10" s="9">
        <f>(2.23+3.51+2.13+1.28)/4</f>
        <v>2.2875000000000001</v>
      </c>
      <c r="G10" s="10">
        <v>4</v>
      </c>
      <c r="I10" s="6" t="s">
        <v>28</v>
      </c>
      <c r="J10" s="7">
        <v>4.6900000000000004</v>
      </c>
    </row>
    <row r="11" spans="1:10" x14ac:dyDescent="0.2">
      <c r="A11" s="4" t="s">
        <v>26</v>
      </c>
      <c r="B11" s="24">
        <f>(4.47+2.68+3.18)/3</f>
        <v>3.4433333333333334</v>
      </c>
      <c r="C11" s="6">
        <v>3</v>
      </c>
      <c r="E11" s="4" t="s">
        <v>27</v>
      </c>
      <c r="F11" s="5">
        <f>(2.63+4.82+2.1+2.27+2.42+1.92+2.42+1.41)/8</f>
        <v>2.4987499999999998</v>
      </c>
      <c r="G11" s="6">
        <v>8</v>
      </c>
      <c r="I11" s="6" t="s">
        <v>31</v>
      </c>
      <c r="J11" s="7">
        <v>6.46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4.51</v>
      </c>
    </row>
    <row r="13" spans="1:10" x14ac:dyDescent="0.2">
      <c r="A13" s="4" t="s">
        <v>32</v>
      </c>
      <c r="B13" s="9" t="s">
        <v>14</v>
      </c>
      <c r="C13" s="10">
        <v>0</v>
      </c>
      <c r="E13" s="4" t="s">
        <v>33</v>
      </c>
      <c r="F13" s="9" t="s">
        <v>14</v>
      </c>
      <c r="G13" s="10">
        <v>0</v>
      </c>
      <c r="I13" s="6" t="s">
        <v>37</v>
      </c>
      <c r="J13" s="7">
        <v>3.39</v>
      </c>
    </row>
    <row r="14" spans="1:10" x14ac:dyDescent="0.2">
      <c r="A14" s="4" t="s">
        <v>35</v>
      </c>
      <c r="B14" s="9">
        <v>2.52</v>
      </c>
      <c r="C14" s="10">
        <v>1</v>
      </c>
      <c r="E14" s="4" t="s">
        <v>36</v>
      </c>
      <c r="F14" s="9">
        <f>(3.13+2.99+4.65+2.98+3.44+3.75+3.4+2.25+1.7+3.45+2.67+2.22+3.43+1.69+2.35+2.36+3.13+3+2.71+4.96+3.23+2.97+2.45+3.48+2.58+2.12+2.6+1.56+3.17+1.21)/30</f>
        <v>2.8543333333333334</v>
      </c>
      <c r="G14" s="10">
        <v>30</v>
      </c>
      <c r="I14" s="6" t="s">
        <v>40</v>
      </c>
      <c r="J14" s="7">
        <v>4.28</v>
      </c>
    </row>
    <row r="15" spans="1:10" x14ac:dyDescent="0.2">
      <c r="A15" s="4" t="s">
        <v>38</v>
      </c>
      <c r="B15" s="24">
        <v>2.42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4.71</v>
      </c>
    </row>
    <row r="16" spans="1:10" x14ac:dyDescent="0.2">
      <c r="A16" s="4" t="s">
        <v>41</v>
      </c>
      <c r="B16" s="24">
        <f>(3.52+3.72)/2</f>
        <v>3.62</v>
      </c>
      <c r="C16" s="6">
        <v>2</v>
      </c>
      <c r="E16" s="4" t="s">
        <v>42</v>
      </c>
      <c r="F16" s="5">
        <v>4.93</v>
      </c>
      <c r="G16" s="6">
        <v>1</v>
      </c>
      <c r="I16" s="6" t="s">
        <v>46</v>
      </c>
      <c r="J16" s="7">
        <v>4.0999999999999996</v>
      </c>
    </row>
    <row r="17" spans="1:10" x14ac:dyDescent="0.2">
      <c r="A17" s="4" t="s">
        <v>44</v>
      </c>
      <c r="B17" s="9">
        <v>2.4900000000000002</v>
      </c>
      <c r="C17" s="10">
        <v>1</v>
      </c>
      <c r="E17" s="4" t="s">
        <v>45</v>
      </c>
      <c r="F17" s="9">
        <f>(1.8+1.21+2.52+1.69+1.82+3.04+1.58+4.15+2.39+0.21)/10</f>
        <v>2.0409999999999999</v>
      </c>
      <c r="G17" s="10">
        <v>10</v>
      </c>
      <c r="I17" s="6" t="s">
        <v>49</v>
      </c>
      <c r="J17" s="7">
        <v>5.08</v>
      </c>
    </row>
    <row r="18" spans="1:10" x14ac:dyDescent="0.2">
      <c r="A18" s="4" t="s">
        <v>47</v>
      </c>
      <c r="B18" s="9" t="s">
        <v>14</v>
      </c>
      <c r="C18" s="10">
        <v>0</v>
      </c>
      <c r="E18" s="4" t="s">
        <v>48</v>
      </c>
      <c r="F18" s="9">
        <f>(5.55+9.86+9.46+14.44+7.08+5.49+8.13+6.83+12.55+8.99+12.72+8.93+5.59+13.22+8.2+5.91+7.04+7.07+11.81+6.14+8.37+5.02+4.2+5.09+2.97+0.54)/26</f>
        <v>7.7384615384615367</v>
      </c>
      <c r="G18" s="10">
        <v>26</v>
      </c>
      <c r="I18" s="6" t="s">
        <v>52</v>
      </c>
      <c r="J18" s="7">
        <v>5.14</v>
      </c>
    </row>
    <row r="19" spans="1:10" x14ac:dyDescent="0.2">
      <c r="A19" s="4" t="s">
        <v>50</v>
      </c>
      <c r="B19" s="24" t="s">
        <v>14</v>
      </c>
      <c r="C19" s="6">
        <v>0</v>
      </c>
      <c r="E19" s="4" t="s">
        <v>51</v>
      </c>
      <c r="F19" s="5">
        <f>(2.27+1.6+4.67+5.76)/4</f>
        <v>3.5749999999999997</v>
      </c>
      <c r="G19" s="6">
        <v>4</v>
      </c>
      <c r="I19" s="6" t="s">
        <v>55</v>
      </c>
      <c r="J19" s="7">
        <v>5.7</v>
      </c>
    </row>
    <row r="20" spans="1:10" x14ac:dyDescent="0.2">
      <c r="A20" s="4" t="s">
        <v>53</v>
      </c>
      <c r="B20" s="24">
        <f>(3.17+2.22+3.07+2.75)/4</f>
        <v>2.8025000000000002</v>
      </c>
      <c r="C20" s="6">
        <v>4</v>
      </c>
      <c r="E20" s="4" t="s">
        <v>54</v>
      </c>
      <c r="F20" s="5">
        <f>(2.21+5.73+4.65+5.98)/4</f>
        <v>4.6425000000000001</v>
      </c>
      <c r="G20" s="6">
        <v>4</v>
      </c>
      <c r="I20" s="6" t="s">
        <v>58</v>
      </c>
      <c r="J20" s="7">
        <v>4.5999999999999996</v>
      </c>
    </row>
    <row r="21" spans="1:10" ht="15.75" customHeight="1" x14ac:dyDescent="0.2">
      <c r="A21" s="4" t="s">
        <v>56</v>
      </c>
      <c r="B21" s="9" t="s">
        <v>14</v>
      </c>
      <c r="C21" s="10">
        <v>0</v>
      </c>
      <c r="E21" s="4" t="s">
        <v>57</v>
      </c>
      <c r="F21" s="9">
        <f>(2.61+3.17+3.87+2.68+1.77+3.15+2.45+2.29+2.59+4.08)/10</f>
        <v>2.8659999999999997</v>
      </c>
      <c r="G21" s="10">
        <v>10</v>
      </c>
      <c r="I21" s="6" t="s">
        <v>61</v>
      </c>
      <c r="J21" s="7">
        <v>5.52</v>
      </c>
    </row>
    <row r="22" spans="1:10" ht="15.75" customHeight="1" x14ac:dyDescent="0.2">
      <c r="A22" s="4" t="s">
        <v>59</v>
      </c>
      <c r="B22" s="9" t="s">
        <v>14</v>
      </c>
      <c r="C22" s="10">
        <v>0</v>
      </c>
      <c r="E22" s="4" t="s">
        <v>60</v>
      </c>
      <c r="F22" s="9" t="s">
        <v>14</v>
      </c>
      <c r="G22" s="10">
        <v>0</v>
      </c>
      <c r="I22" s="6" t="s">
        <v>64</v>
      </c>
      <c r="J22" s="7">
        <v>4.92</v>
      </c>
    </row>
    <row r="23" spans="1:10" ht="15.75" customHeight="1" x14ac:dyDescent="0.2">
      <c r="A23" s="4" t="s">
        <v>62</v>
      </c>
      <c r="B23" s="24">
        <v>3.99</v>
      </c>
      <c r="C23" s="6">
        <v>1</v>
      </c>
      <c r="E23" s="4" t="s">
        <v>63</v>
      </c>
      <c r="F23" s="5" t="s">
        <v>14</v>
      </c>
      <c r="G23" s="6">
        <v>0</v>
      </c>
      <c r="I23" s="6" t="s">
        <v>67</v>
      </c>
      <c r="J23" s="7">
        <v>5.79</v>
      </c>
    </row>
    <row r="24" spans="1:10" ht="15.75" customHeight="1" x14ac:dyDescent="0.2">
      <c r="A24" s="4" t="s">
        <v>65</v>
      </c>
      <c r="B24" s="24" t="s">
        <v>14</v>
      </c>
      <c r="C24" s="6">
        <v>0</v>
      </c>
      <c r="E24" s="4" t="s">
        <v>66</v>
      </c>
      <c r="F24" s="5" t="s">
        <v>14</v>
      </c>
      <c r="G24" s="6">
        <v>0</v>
      </c>
      <c r="I24" s="6" t="s">
        <v>70</v>
      </c>
      <c r="J24" s="7">
        <v>5</v>
      </c>
    </row>
    <row r="25" spans="1:10" ht="15.75" customHeight="1" x14ac:dyDescent="0.2">
      <c r="A25" s="4" t="s">
        <v>68</v>
      </c>
      <c r="B25" s="9">
        <f>(2.11+2.71+1.52+1.15)/4</f>
        <v>1.8725000000000001</v>
      </c>
      <c r="C25" s="10">
        <v>4</v>
      </c>
      <c r="E25" s="4" t="s">
        <v>69</v>
      </c>
      <c r="F25" s="9">
        <f>(1.68+1.62)/2</f>
        <v>1.65</v>
      </c>
      <c r="G25" s="10">
        <v>2</v>
      </c>
      <c r="I25" s="6" t="s">
        <v>73</v>
      </c>
      <c r="J25" s="7">
        <v>4.83</v>
      </c>
    </row>
    <row r="26" spans="1:10" ht="15.75" customHeight="1" x14ac:dyDescent="0.2">
      <c r="A26" s="4" t="s">
        <v>71</v>
      </c>
      <c r="B26" s="9" t="s">
        <v>14</v>
      </c>
      <c r="C26" s="10">
        <v>0</v>
      </c>
      <c r="E26" s="4" t="s">
        <v>72</v>
      </c>
      <c r="F26" s="9">
        <v>1.24</v>
      </c>
      <c r="G26" s="10">
        <v>1</v>
      </c>
      <c r="I26" s="6" t="s">
        <v>76</v>
      </c>
      <c r="J26" s="7">
        <v>4.95</v>
      </c>
    </row>
    <row r="27" spans="1:10" ht="15.75" customHeight="1" x14ac:dyDescent="0.2">
      <c r="A27" s="4" t="s">
        <v>74</v>
      </c>
      <c r="B27" s="24" t="s">
        <v>14</v>
      </c>
      <c r="C27" s="6">
        <v>0</v>
      </c>
      <c r="E27" s="4" t="s">
        <v>75</v>
      </c>
      <c r="F27" s="5">
        <f>(2.32+2.7+1.95+1.99+1.81+2.37+2.32)/7</f>
        <v>2.2085714285714286</v>
      </c>
      <c r="G27" s="6">
        <v>7</v>
      </c>
      <c r="I27" s="6" t="s">
        <v>79</v>
      </c>
      <c r="J27" s="7">
        <v>4.3099999999999996</v>
      </c>
    </row>
    <row r="28" spans="1:10" ht="15.75" customHeight="1" x14ac:dyDescent="0.2">
      <c r="A28" s="4" t="s">
        <v>77</v>
      </c>
      <c r="B28" s="24">
        <f>(2.02+3.04+2.04+3+2.03+1.56)/6</f>
        <v>2.2816666666666667</v>
      </c>
      <c r="C28" s="6">
        <v>6</v>
      </c>
      <c r="E28" s="4" t="s">
        <v>78</v>
      </c>
      <c r="F28" s="5">
        <f>(3.05+2.25+3.27+0.73+2.1+2.33+2.94+3.27+2.65+5.14+2.39+2.71+5.43+1.46+1.62+5.41+3.11+4.58)/18</f>
        <v>3.0244444444444443</v>
      </c>
      <c r="G28" s="6">
        <v>18</v>
      </c>
      <c r="I28" s="6" t="s">
        <v>82</v>
      </c>
      <c r="J28" s="7">
        <v>3.49</v>
      </c>
    </row>
    <row r="29" spans="1:10" ht="15.75" customHeight="1" x14ac:dyDescent="0.2">
      <c r="A29" s="4" t="s">
        <v>80</v>
      </c>
      <c r="B29" s="9">
        <f>(2.49+5.03+2.12+0.03+2.51)/5</f>
        <v>2.4359999999999999</v>
      </c>
      <c r="C29" s="10">
        <v>5</v>
      </c>
      <c r="E29" s="4" t="s">
        <v>81</v>
      </c>
      <c r="F29" s="9" t="s">
        <v>14</v>
      </c>
      <c r="G29" s="10">
        <v>0</v>
      </c>
      <c r="I29" s="6" t="s">
        <v>85</v>
      </c>
      <c r="J29" s="7">
        <v>4.87</v>
      </c>
    </row>
    <row r="30" spans="1:10" ht="15.75" customHeight="1" x14ac:dyDescent="0.2">
      <c r="A30" s="4" t="s">
        <v>83</v>
      </c>
      <c r="B30" s="9">
        <f>(5.99+7.6)/2</f>
        <v>6.7949999999999999</v>
      </c>
      <c r="C30" s="10">
        <v>2</v>
      </c>
      <c r="E30" s="4" t="s">
        <v>84</v>
      </c>
      <c r="F30" s="9">
        <f>(3.76+3.19)/2</f>
        <v>3.4749999999999996</v>
      </c>
      <c r="G30" s="10">
        <v>2</v>
      </c>
      <c r="I30" s="6" t="s">
        <v>88</v>
      </c>
      <c r="J30" s="7">
        <v>4.18</v>
      </c>
    </row>
    <row r="31" spans="1:10" ht="15.75" customHeight="1" x14ac:dyDescent="0.2">
      <c r="A31" s="4" t="s">
        <v>86</v>
      </c>
      <c r="B31" s="24">
        <f>(2.19+5.58)/2</f>
        <v>3.8849999999999998</v>
      </c>
      <c r="C31" s="6">
        <v>2</v>
      </c>
      <c r="E31" s="4" t="s">
        <v>87</v>
      </c>
      <c r="F31" s="5">
        <v>3.18</v>
      </c>
      <c r="G31" s="6">
        <v>1</v>
      </c>
      <c r="I31" s="6" t="s">
        <v>90</v>
      </c>
      <c r="J31" s="7">
        <v>4.4800000000000004</v>
      </c>
    </row>
    <row r="32" spans="1:10" ht="15.75" customHeight="1" x14ac:dyDescent="0.2">
      <c r="A32" s="4" t="s">
        <v>64</v>
      </c>
      <c r="B32" s="24">
        <v>2.37</v>
      </c>
      <c r="C32" s="6">
        <v>1</v>
      </c>
      <c r="E32" s="4" t="s">
        <v>89</v>
      </c>
      <c r="F32" s="5">
        <f>(5.66+4.15+2.98+3.44+4.84+0.09)/6</f>
        <v>3.5266666666666668</v>
      </c>
      <c r="G32" s="6">
        <v>6</v>
      </c>
      <c r="I32" s="6" t="s">
        <v>93</v>
      </c>
      <c r="J32" s="7">
        <v>1.73</v>
      </c>
    </row>
    <row r="33" spans="1:10" ht="15.75" customHeight="1" x14ac:dyDescent="0.2">
      <c r="A33" s="4" t="s">
        <v>91</v>
      </c>
      <c r="B33" s="9" t="s">
        <v>14</v>
      </c>
      <c r="C33" s="10">
        <v>0</v>
      </c>
      <c r="E33" s="4" t="s">
        <v>92</v>
      </c>
      <c r="F33" s="9">
        <f>(2.51+3.52)/2</f>
        <v>3.0149999999999997</v>
      </c>
      <c r="G33" s="10">
        <v>2</v>
      </c>
      <c r="I33" s="6" t="s">
        <v>96</v>
      </c>
      <c r="J33" s="7">
        <v>4.34</v>
      </c>
    </row>
    <row r="34" spans="1:10" ht="15.75" customHeight="1" x14ac:dyDescent="0.2">
      <c r="A34" s="4" t="s">
        <v>94</v>
      </c>
      <c r="B34" s="9">
        <v>6.95</v>
      </c>
      <c r="C34" s="10">
        <v>1</v>
      </c>
      <c r="E34" s="4" t="s">
        <v>95</v>
      </c>
      <c r="F34" s="9">
        <v>3.69</v>
      </c>
      <c r="G34" s="10">
        <v>1</v>
      </c>
      <c r="I34" s="6" t="s">
        <v>99</v>
      </c>
      <c r="J34" s="7">
        <v>4.4000000000000004</v>
      </c>
    </row>
    <row r="35" spans="1:10" ht="15.75" customHeight="1" x14ac:dyDescent="0.2">
      <c r="A35" s="4" t="s">
        <v>97</v>
      </c>
      <c r="B35" s="24" t="s">
        <v>14</v>
      </c>
      <c r="C35" s="6">
        <v>0</v>
      </c>
      <c r="E35" s="4" t="s">
        <v>98</v>
      </c>
      <c r="F35" s="5">
        <f>(7.69+1.99)/2</f>
        <v>4.84</v>
      </c>
      <c r="G35" s="6">
        <v>2</v>
      </c>
      <c r="I35" s="6" t="s">
        <v>102</v>
      </c>
      <c r="J35" s="7">
        <v>4.67</v>
      </c>
    </row>
    <row r="36" spans="1:10" ht="15.75" customHeight="1" x14ac:dyDescent="0.2">
      <c r="A36" s="4" t="s">
        <v>100</v>
      </c>
      <c r="B36" s="24" t="s">
        <v>14</v>
      </c>
      <c r="C36" s="6">
        <v>0</v>
      </c>
      <c r="E36" s="4" t="s">
        <v>101</v>
      </c>
      <c r="F36" s="5">
        <f>(3.2+2.56+2.6+4.19)/4</f>
        <v>3.1375000000000002</v>
      </c>
      <c r="G36" s="6">
        <v>4</v>
      </c>
      <c r="I36" s="6" t="s">
        <v>104</v>
      </c>
      <c r="J36" s="7">
        <v>4.08</v>
      </c>
    </row>
    <row r="37" spans="1:10" ht="15.75" customHeight="1" x14ac:dyDescent="0.2">
      <c r="A37" s="4" t="s">
        <v>103</v>
      </c>
      <c r="B37" s="9" t="s">
        <v>14</v>
      </c>
      <c r="C37" s="10">
        <v>0</v>
      </c>
      <c r="I37" s="6" t="s">
        <v>105</v>
      </c>
      <c r="J37" s="7">
        <v>3.95</v>
      </c>
    </row>
    <row r="38" spans="1:10" ht="15.75" customHeight="1" x14ac:dyDescent="0.2">
      <c r="I38" s="6" t="s">
        <v>106</v>
      </c>
      <c r="J38" s="7">
        <v>5.46</v>
      </c>
    </row>
    <row r="39" spans="1:10" ht="15.75" customHeight="1" x14ac:dyDescent="0.2">
      <c r="I39" s="6" t="s">
        <v>107</v>
      </c>
      <c r="J39" s="7">
        <v>3.82</v>
      </c>
    </row>
    <row r="40" spans="1:10" ht="15.75" customHeight="1" x14ac:dyDescent="0.2">
      <c r="I40" s="6" t="s">
        <v>108</v>
      </c>
      <c r="J40" s="7">
        <v>4.25</v>
      </c>
    </row>
    <row r="41" spans="1:10" ht="15.75" customHeight="1" x14ac:dyDescent="0.2">
      <c r="I41" s="6" t="s">
        <v>109</v>
      </c>
      <c r="J41" s="7">
        <v>5.22</v>
      </c>
    </row>
    <row r="42" spans="1:10" ht="15.75" customHeight="1" x14ac:dyDescent="0.2">
      <c r="I42" s="6" t="s">
        <v>110</v>
      </c>
      <c r="J42" s="7">
        <v>3.81</v>
      </c>
    </row>
    <row r="43" spans="1:10" ht="15.75" customHeight="1" x14ac:dyDescent="0.2">
      <c r="I43" s="6" t="s">
        <v>111</v>
      </c>
      <c r="J43" s="7">
        <v>4.53</v>
      </c>
    </row>
    <row r="44" spans="1:10" ht="15.75" customHeight="1" x14ac:dyDescent="0.2">
      <c r="I44" s="6" t="s">
        <v>112</v>
      </c>
      <c r="J44" s="7">
        <v>4.07</v>
      </c>
    </row>
    <row r="45" spans="1:10" ht="15.75" customHeight="1" x14ac:dyDescent="0.2">
      <c r="I45" s="6" t="s">
        <v>113</v>
      </c>
      <c r="J45" s="7">
        <v>4.22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123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124</v>
      </c>
    </row>
    <row r="4" spans="1:10" x14ac:dyDescent="0.2">
      <c r="A4" s="4" t="s">
        <v>4</v>
      </c>
      <c r="B4" s="24">
        <v>9.18</v>
      </c>
      <c r="C4" s="25">
        <v>1</v>
      </c>
      <c r="E4" s="4" t="s">
        <v>5</v>
      </c>
      <c r="F4" s="5">
        <f>(5.22+6.7+0.53+1.96)/4</f>
        <v>3.6025</v>
      </c>
      <c r="G4" s="25">
        <v>4</v>
      </c>
      <c r="I4" s="6" t="s">
        <v>9</v>
      </c>
      <c r="J4" s="7">
        <v>5.94</v>
      </c>
    </row>
    <row r="5" spans="1:10" x14ac:dyDescent="0.2">
      <c r="A5" s="4" t="s">
        <v>7</v>
      </c>
      <c r="B5" s="9">
        <f>(6.73+9.11+6.22+6.48+6.86+5.94+3.15+10.08+5.02+5.66+8.67+7.77+5.58+7.32+7.26+6.4+0.8+5.56+6.3+4.6+8.4+7.71+8.44+10.32+9.61+5.81+7+12+6.7+6.3+7.81+9.69+7.24+8.91+12.71+8.62+7.88+9.76+8.18+9.16+6.14+7.49+7.02+8.16)/44</f>
        <v>7.4220454545454544</v>
      </c>
      <c r="C5" s="26">
        <v>44</v>
      </c>
      <c r="E5" s="4" t="s">
        <v>8</v>
      </c>
      <c r="F5" s="9">
        <f>(6.88+4.88+3.82+3.18+4.35+4.96)/6</f>
        <v>4.6783333333333337</v>
      </c>
      <c r="G5" s="26">
        <v>6</v>
      </c>
      <c r="I5" s="6" t="s">
        <v>12</v>
      </c>
      <c r="J5" s="7">
        <v>4.95</v>
      </c>
    </row>
    <row r="6" spans="1:10" x14ac:dyDescent="0.2">
      <c r="A6" s="4" t="s">
        <v>10</v>
      </c>
      <c r="B6" s="9">
        <f>(5.06+5.35)/2</f>
        <v>5.2050000000000001</v>
      </c>
      <c r="C6" s="26">
        <v>2</v>
      </c>
      <c r="E6" s="4" t="s">
        <v>11</v>
      </c>
      <c r="F6" s="9">
        <f>(5.95+7.42+5.23+8.84+8.59+8.24+7.55+6.3+9.24+7.93+4.61+6.91+14.2+9.55+3.18)/15</f>
        <v>7.5826666666666664</v>
      </c>
      <c r="G6" s="26">
        <v>15</v>
      </c>
      <c r="I6" s="6" t="s">
        <v>16</v>
      </c>
      <c r="J6" s="7">
        <v>5.31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7.8</v>
      </c>
      <c r="G7" s="25">
        <v>1</v>
      </c>
      <c r="I7" s="6" t="s">
        <v>19</v>
      </c>
      <c r="J7" s="7">
        <v>4.99</v>
      </c>
    </row>
    <row r="8" spans="1:10" x14ac:dyDescent="0.2">
      <c r="A8" s="4" t="s">
        <v>17</v>
      </c>
      <c r="B8" s="24">
        <f>(4.33+5.98+6.5+1.4+6.29+5.68)/6</f>
        <v>5.03</v>
      </c>
      <c r="C8" s="25">
        <v>6</v>
      </c>
      <c r="E8" s="4" t="s">
        <v>18</v>
      </c>
      <c r="F8" s="5">
        <f>(5.29+3.54+3.62+4.5+3.67+3.86+1.78+2.81)/8</f>
        <v>3.6337499999999996</v>
      </c>
      <c r="G8" s="25">
        <v>8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(6.11+4.4+5.37+2.14)/4</f>
        <v>4.5050000000000008</v>
      </c>
      <c r="G9" s="26">
        <v>4</v>
      </c>
      <c r="I9" s="6" t="s">
        <v>25</v>
      </c>
      <c r="J9" s="7">
        <v>5.1100000000000003</v>
      </c>
    </row>
    <row r="10" spans="1:10" x14ac:dyDescent="0.2">
      <c r="A10" s="4" t="s">
        <v>23</v>
      </c>
      <c r="B10" s="9">
        <f>(9.93+9.68+8.5+3.83+6.41)/5</f>
        <v>7.669999999999999</v>
      </c>
      <c r="C10" s="26">
        <v>5</v>
      </c>
      <c r="E10" s="4" t="s">
        <v>24</v>
      </c>
      <c r="F10" s="9">
        <f>(5.64+7.1+6.68+5.62+4.48)/5</f>
        <v>5.9039999999999999</v>
      </c>
      <c r="G10" s="26">
        <v>5</v>
      </c>
      <c r="I10" s="6" t="s">
        <v>28</v>
      </c>
      <c r="J10" s="7">
        <v>4.33</v>
      </c>
    </row>
    <row r="11" spans="1:10" x14ac:dyDescent="0.2">
      <c r="A11" s="4" t="s">
        <v>26</v>
      </c>
      <c r="B11" s="24">
        <f>(12.24+6.04+7.11)/3</f>
        <v>8.4633333333333329</v>
      </c>
      <c r="C11" s="25">
        <v>3</v>
      </c>
      <c r="E11" s="4" t="s">
        <v>27</v>
      </c>
      <c r="F11" s="5">
        <f>(5.59+6.33+7.73+6.18+6.88+5.62+5.72+5.76)/8</f>
        <v>6.2262499999999994</v>
      </c>
      <c r="G11" s="25">
        <v>8</v>
      </c>
      <c r="I11" s="6" t="s">
        <v>31</v>
      </c>
      <c r="J11" s="7">
        <v>8.14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5.07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5.52</v>
      </c>
    </row>
    <row r="14" spans="1:10" x14ac:dyDescent="0.2">
      <c r="A14" s="4" t="s">
        <v>35</v>
      </c>
      <c r="B14" s="9">
        <v>7.72</v>
      </c>
      <c r="C14" s="26">
        <v>1</v>
      </c>
      <c r="E14" s="4" t="s">
        <v>36</v>
      </c>
      <c r="F14" s="9">
        <f>(7.94+4.68+7.36+8.38+3.26+8.1+4.68+5.37+2.95+4.74+5.74+5.39+4.49+6.11+5.59+3.78+7.31+4.8+4.78+5.25+6.89+5.61+6+7.43+6.81+5.16+5.9+4.65+6.12+7.75)/30</f>
        <v>5.7673333333333341</v>
      </c>
      <c r="G14" s="26">
        <v>30</v>
      </c>
      <c r="I14" s="6" t="s">
        <v>40</v>
      </c>
      <c r="J14" s="7">
        <v>5.0599999999999996</v>
      </c>
    </row>
    <row r="15" spans="1:10" x14ac:dyDescent="0.2">
      <c r="A15" s="4" t="s">
        <v>38</v>
      </c>
      <c r="B15" s="24">
        <v>5.9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6</v>
      </c>
    </row>
    <row r="16" spans="1:10" x14ac:dyDescent="0.2">
      <c r="A16" s="4" t="s">
        <v>41</v>
      </c>
      <c r="B16" s="24">
        <f>(4.86+6.83)/2</f>
        <v>5.8450000000000006</v>
      </c>
      <c r="C16" s="25">
        <v>2</v>
      </c>
      <c r="E16" s="4" t="s">
        <v>42</v>
      </c>
      <c r="F16" s="5">
        <v>7.87</v>
      </c>
      <c r="G16" s="25">
        <v>1</v>
      </c>
      <c r="I16" s="6" t="s">
        <v>46</v>
      </c>
      <c r="J16" s="7">
        <v>4.5599999999999996</v>
      </c>
    </row>
    <row r="17" spans="1:10" x14ac:dyDescent="0.2">
      <c r="A17" s="4" t="s">
        <v>44</v>
      </c>
      <c r="B17" s="9">
        <v>7.66</v>
      </c>
      <c r="C17" s="26">
        <v>1</v>
      </c>
      <c r="E17" s="4" t="s">
        <v>45</v>
      </c>
      <c r="F17" s="9">
        <f>(5.4+4.81+5.36+5.43+3.93+5.31+4.54+7.45+3.86+6.12)/10</f>
        <v>5.2210000000000001</v>
      </c>
      <c r="G17" s="26">
        <v>10</v>
      </c>
      <c r="I17" s="6" t="s">
        <v>49</v>
      </c>
      <c r="J17" s="7">
        <v>5.91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(10.06+9.85+11.84+9.93+16.8+6.39+11.13+9.4+11.97+10.33+11.54+12.48+2.14+11.46+10.78+10.46+7.38+16.51+8.46+7.52+11.28+15.5+9.33+12.48+4.74)/25</f>
        <v>10.3904</v>
      </c>
      <c r="G18" s="26">
        <v>25</v>
      </c>
      <c r="I18" s="6" t="s">
        <v>52</v>
      </c>
      <c r="J18" s="7">
        <v>6.23</v>
      </c>
    </row>
    <row r="19" spans="1:10" x14ac:dyDescent="0.2">
      <c r="A19" s="4" t="s">
        <v>50</v>
      </c>
      <c r="B19" s="24" t="s">
        <v>14</v>
      </c>
      <c r="C19" s="25">
        <v>0</v>
      </c>
      <c r="E19" s="4" t="s">
        <v>51</v>
      </c>
      <c r="F19" s="5">
        <f>(5.4+3.3+4.16+6.37)/4</f>
        <v>4.8075000000000001</v>
      </c>
      <c r="G19" s="25">
        <v>4</v>
      </c>
      <c r="I19" s="6" t="s">
        <v>55</v>
      </c>
      <c r="J19" s="7">
        <v>5.96</v>
      </c>
    </row>
    <row r="20" spans="1:10" x14ac:dyDescent="0.2">
      <c r="A20" s="4" t="s">
        <v>53</v>
      </c>
      <c r="B20" s="5">
        <f>(3.45+5.57+3.78+3.53)/4</f>
        <v>4.0824999999999996</v>
      </c>
      <c r="C20" s="25">
        <v>4</v>
      </c>
      <c r="E20" s="4" t="s">
        <v>54</v>
      </c>
      <c r="F20" s="5">
        <f>(11.17+7.63+4.97+8.6)/4</f>
        <v>8.0924999999999994</v>
      </c>
      <c r="G20" s="25">
        <v>4</v>
      </c>
      <c r="I20" s="6" t="s">
        <v>58</v>
      </c>
      <c r="J20" s="7">
        <v>5.15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(5.72+5.23+5.34+3.37+5.6+3.67+5.4+3.89+6.14+4.59)/10</f>
        <v>4.8950000000000005</v>
      </c>
      <c r="G21" s="26">
        <v>10</v>
      </c>
      <c r="I21" s="6" t="s">
        <v>61</v>
      </c>
      <c r="J21" s="7">
        <v>6.51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64</v>
      </c>
      <c r="J22" s="7">
        <v>4.2</v>
      </c>
    </row>
    <row r="23" spans="1:10" ht="15.75" customHeight="1" x14ac:dyDescent="0.2">
      <c r="A23" s="4" t="s">
        <v>62</v>
      </c>
      <c r="B23" s="24">
        <v>5.63</v>
      </c>
      <c r="C23" s="25">
        <v>1</v>
      </c>
      <c r="E23" s="4" t="s">
        <v>63</v>
      </c>
      <c r="F23" s="5" t="s">
        <v>14</v>
      </c>
      <c r="G23" s="25">
        <v>0</v>
      </c>
      <c r="I23" s="6" t="s">
        <v>67</v>
      </c>
      <c r="J23" s="7">
        <v>5.8</v>
      </c>
    </row>
    <row r="24" spans="1:10" ht="15.75" customHeight="1" x14ac:dyDescent="0.2">
      <c r="A24" s="4" t="s">
        <v>65</v>
      </c>
      <c r="B24" s="24" t="s">
        <v>14</v>
      </c>
      <c r="C24" s="25">
        <v>0</v>
      </c>
      <c r="E24" s="4" t="s">
        <v>66</v>
      </c>
      <c r="F24" s="5" t="s">
        <v>14</v>
      </c>
      <c r="G24" s="25">
        <v>0</v>
      </c>
      <c r="I24" s="6" t="s">
        <v>70</v>
      </c>
      <c r="J24" s="7">
        <v>5.79</v>
      </c>
    </row>
    <row r="25" spans="1:10" ht="15.75" customHeight="1" x14ac:dyDescent="0.2">
      <c r="A25" s="4" t="s">
        <v>68</v>
      </c>
      <c r="B25" s="9">
        <f>(4.08+5.17+6.74+5.13+4.18)/5</f>
        <v>5.0600000000000005</v>
      </c>
      <c r="C25" s="26">
        <v>5</v>
      </c>
      <c r="E25" s="4" t="s">
        <v>69</v>
      </c>
      <c r="F25" s="9">
        <f>(9.48+6.3)/2</f>
        <v>7.8900000000000006</v>
      </c>
      <c r="G25" s="26">
        <v>2</v>
      </c>
      <c r="I25" s="6" t="s">
        <v>73</v>
      </c>
      <c r="J25" s="7">
        <v>5.08</v>
      </c>
    </row>
    <row r="26" spans="1:10" ht="15.75" customHeight="1" x14ac:dyDescent="0.2">
      <c r="A26" s="4" t="s">
        <v>71</v>
      </c>
      <c r="B26" s="9" t="s">
        <v>14</v>
      </c>
      <c r="C26" s="26">
        <v>0</v>
      </c>
      <c r="E26" s="4" t="s">
        <v>72</v>
      </c>
      <c r="F26" s="9">
        <v>6.45</v>
      </c>
      <c r="G26" s="26">
        <v>1</v>
      </c>
      <c r="I26" s="6" t="s">
        <v>76</v>
      </c>
      <c r="J26" s="7">
        <v>4.75</v>
      </c>
    </row>
    <row r="27" spans="1:10" ht="15.75" customHeight="1" x14ac:dyDescent="0.2">
      <c r="A27" s="4" t="s">
        <v>74</v>
      </c>
      <c r="B27" s="24">
        <v>4.58</v>
      </c>
      <c r="C27" s="25">
        <v>1</v>
      </c>
      <c r="E27" s="4" t="s">
        <v>75</v>
      </c>
      <c r="F27" s="5">
        <f>(5.36+6.14+9.18+6.78+7.14+8.61+8.56)/7</f>
        <v>7.3957142857142859</v>
      </c>
      <c r="G27" s="25">
        <v>7</v>
      </c>
      <c r="I27" s="6" t="s">
        <v>79</v>
      </c>
      <c r="J27" s="7">
        <v>5.5</v>
      </c>
    </row>
    <row r="28" spans="1:10" ht="15.75" customHeight="1" x14ac:dyDescent="0.2">
      <c r="A28" s="4" t="s">
        <v>77</v>
      </c>
      <c r="B28" s="24">
        <f>(6.93+5.17+8.4+7.52+6.31+7.11)/6</f>
        <v>6.9066666666666663</v>
      </c>
      <c r="C28" s="25">
        <v>6</v>
      </c>
      <c r="E28" s="4" t="s">
        <v>78</v>
      </c>
      <c r="F28" s="5">
        <f>(9.22+6.89+7.69+10.67+4.83+10.32+9.22+6.91+6.16+11.07+6.18+9.73+8.93+2.65+11.24+8.04+9.44)/17</f>
        <v>8.1876470588235293</v>
      </c>
      <c r="G28" s="25">
        <v>17</v>
      </c>
      <c r="I28" s="6" t="s">
        <v>82</v>
      </c>
      <c r="J28" s="7">
        <v>5.47</v>
      </c>
    </row>
    <row r="29" spans="1:10" ht="15.75" customHeight="1" x14ac:dyDescent="0.2">
      <c r="A29" s="4" t="s">
        <v>80</v>
      </c>
      <c r="B29" s="9">
        <f>(7.3+7.08+7.14+5.66)/4</f>
        <v>6.7949999999999999</v>
      </c>
      <c r="C29" s="26">
        <v>4</v>
      </c>
      <c r="E29" s="4" t="s">
        <v>81</v>
      </c>
      <c r="F29" s="9" t="s">
        <v>14</v>
      </c>
      <c r="G29" s="26">
        <v>0</v>
      </c>
      <c r="I29" s="6" t="s">
        <v>85</v>
      </c>
      <c r="J29" s="7">
        <v>5.16</v>
      </c>
    </row>
    <row r="30" spans="1:10" ht="15.75" customHeight="1" x14ac:dyDescent="0.2">
      <c r="A30" s="4" t="s">
        <v>83</v>
      </c>
      <c r="B30" s="9">
        <f>(6.72+8.4)/2</f>
        <v>7.5600000000000005</v>
      </c>
      <c r="C30" s="26">
        <v>2</v>
      </c>
      <c r="E30" s="4" t="s">
        <v>84</v>
      </c>
      <c r="F30" s="9">
        <f>(9.2+9.38)/2</f>
        <v>9.2899999999999991</v>
      </c>
      <c r="G30" s="26">
        <v>2</v>
      </c>
      <c r="I30" s="6" t="s">
        <v>88</v>
      </c>
      <c r="J30" s="7">
        <v>5.12</v>
      </c>
    </row>
    <row r="31" spans="1:10" ht="15.75" customHeight="1" x14ac:dyDescent="0.2">
      <c r="A31" s="4" t="s">
        <v>86</v>
      </c>
      <c r="B31" s="24">
        <f>(6.11+7.86)/2</f>
        <v>6.9850000000000003</v>
      </c>
      <c r="C31" s="25">
        <v>2</v>
      </c>
      <c r="E31" s="4" t="s">
        <v>87</v>
      </c>
      <c r="F31" s="5">
        <v>9.7799999999999994</v>
      </c>
      <c r="G31" s="25">
        <v>1</v>
      </c>
      <c r="I31" s="6" t="s">
        <v>90</v>
      </c>
      <c r="J31" s="7">
        <v>5.43</v>
      </c>
    </row>
    <row r="32" spans="1:10" ht="15.75" customHeight="1" x14ac:dyDescent="0.2">
      <c r="A32" s="4" t="s">
        <v>64</v>
      </c>
      <c r="B32" s="24">
        <v>4.62</v>
      </c>
      <c r="C32" s="25">
        <v>1</v>
      </c>
      <c r="E32" s="4" t="s">
        <v>89</v>
      </c>
      <c r="F32" s="5">
        <f>(4.67+6.85+6.15+13.52+8.28+0.85)/6</f>
        <v>6.72</v>
      </c>
      <c r="G32" s="25">
        <v>6</v>
      </c>
      <c r="I32" s="6" t="s">
        <v>93</v>
      </c>
      <c r="J32" s="7">
        <v>2.74</v>
      </c>
    </row>
    <row r="33" spans="1:10" ht="15.75" customHeight="1" x14ac:dyDescent="0.2">
      <c r="A33" s="4" t="s">
        <v>91</v>
      </c>
      <c r="B33" s="9" t="s">
        <v>14</v>
      </c>
      <c r="C33" s="26">
        <v>0</v>
      </c>
      <c r="E33" s="4" t="s">
        <v>92</v>
      </c>
      <c r="F33" s="9">
        <f>(4.58+5.01)/2</f>
        <v>4.7949999999999999</v>
      </c>
      <c r="G33" s="26">
        <v>2</v>
      </c>
      <c r="I33" s="6" t="s">
        <v>96</v>
      </c>
      <c r="J33" s="7">
        <v>4.9400000000000004</v>
      </c>
    </row>
    <row r="34" spans="1:10" ht="15.75" customHeight="1" x14ac:dyDescent="0.2">
      <c r="A34" s="4" t="s">
        <v>94</v>
      </c>
      <c r="B34" s="9">
        <v>4.47</v>
      </c>
      <c r="C34" s="26">
        <v>1</v>
      </c>
      <c r="E34" s="4" t="s">
        <v>95</v>
      </c>
      <c r="F34" s="9">
        <v>6.34</v>
      </c>
      <c r="G34" s="26">
        <v>1</v>
      </c>
      <c r="I34" s="6" t="s">
        <v>99</v>
      </c>
      <c r="J34" s="7">
        <v>4.34</v>
      </c>
    </row>
    <row r="35" spans="1:10" ht="15.75" customHeight="1" x14ac:dyDescent="0.2">
      <c r="A35" s="4" t="s">
        <v>97</v>
      </c>
      <c r="B35" s="24" t="s">
        <v>14</v>
      </c>
      <c r="C35" s="25">
        <v>0</v>
      </c>
      <c r="E35" s="4" t="s">
        <v>98</v>
      </c>
      <c r="F35" s="5">
        <f>(10.12+6.34)/2</f>
        <v>8.23</v>
      </c>
      <c r="G35" s="25">
        <v>2</v>
      </c>
      <c r="I35" s="6" t="s">
        <v>102</v>
      </c>
      <c r="J35" s="7">
        <v>5.47</v>
      </c>
    </row>
    <row r="36" spans="1:10" ht="15.75" customHeight="1" x14ac:dyDescent="0.2">
      <c r="A36" s="4" t="s">
        <v>100</v>
      </c>
      <c r="B36" s="24" t="s">
        <v>14</v>
      </c>
      <c r="C36" s="25">
        <v>0</v>
      </c>
      <c r="E36" s="4" t="s">
        <v>101</v>
      </c>
      <c r="F36" s="5">
        <f>(5.17+6.43+8.27+6)/4</f>
        <v>6.4674999999999994</v>
      </c>
      <c r="G36" s="25">
        <v>4</v>
      </c>
      <c r="I36" s="6" t="s">
        <v>104</v>
      </c>
      <c r="J36" s="7">
        <v>4.4400000000000004</v>
      </c>
    </row>
    <row r="37" spans="1:10" ht="15.75" customHeight="1" x14ac:dyDescent="0.2">
      <c r="A37" s="4" t="s">
        <v>103</v>
      </c>
      <c r="B37" s="9" t="s">
        <v>14</v>
      </c>
      <c r="C37" s="26">
        <v>0</v>
      </c>
      <c r="I37" s="6" t="s">
        <v>105</v>
      </c>
      <c r="J37" s="7">
        <v>4.8099999999999996</v>
      </c>
    </row>
    <row r="38" spans="1:10" ht="15.75" customHeight="1" x14ac:dyDescent="0.2">
      <c r="B38" s="14"/>
      <c r="C38" s="14"/>
      <c r="I38" s="6" t="s">
        <v>106</v>
      </c>
      <c r="J38" s="7">
        <v>5.65</v>
      </c>
    </row>
    <row r="39" spans="1:10" ht="15.75" customHeight="1" x14ac:dyDescent="0.2">
      <c r="I39" s="6" t="s">
        <v>107</v>
      </c>
      <c r="J39" s="7">
        <v>5.4</v>
      </c>
    </row>
    <row r="40" spans="1:10" ht="15.75" customHeight="1" x14ac:dyDescent="0.2">
      <c r="I40" s="6" t="s">
        <v>108</v>
      </c>
      <c r="J40" s="7">
        <v>4.8499999999999996</v>
      </c>
    </row>
    <row r="41" spans="1:10" ht="15.75" customHeight="1" x14ac:dyDescent="0.2">
      <c r="I41" s="6" t="s">
        <v>109</v>
      </c>
      <c r="J41" s="7">
        <v>5.32</v>
      </c>
    </row>
    <row r="42" spans="1:10" ht="15.75" customHeight="1" x14ac:dyDescent="0.2">
      <c r="I42" s="6" t="s">
        <v>110</v>
      </c>
      <c r="J42" s="7">
        <v>5.08</v>
      </c>
    </row>
    <row r="43" spans="1:10" ht="15.75" customHeight="1" x14ac:dyDescent="0.2">
      <c r="I43" s="6" t="s">
        <v>111</v>
      </c>
      <c r="J43" s="7">
        <v>4.5599999999999996</v>
      </c>
    </row>
    <row r="44" spans="1:10" ht="15.75" customHeight="1" x14ac:dyDescent="0.2">
      <c r="I44" s="6" t="s">
        <v>112</v>
      </c>
      <c r="J44" s="7">
        <v>5.17</v>
      </c>
    </row>
    <row r="45" spans="1:10" ht="15.75" customHeight="1" x14ac:dyDescent="0.2">
      <c r="I45" s="6" t="s">
        <v>113</v>
      </c>
      <c r="J45" s="7">
        <v>4.93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125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126</v>
      </c>
    </row>
    <row r="4" spans="1:10" x14ac:dyDescent="0.2">
      <c r="A4" s="4" t="s">
        <v>4</v>
      </c>
      <c r="B4" s="24">
        <f>(0.14+0.24+0.64+1.47+0+0.28+0.03+0+0.16+0.13+0.32+0+0+0+0+0+0+0.01+1.9+0.58+0.31+1.8+0+0.05+0.05+0.11+0.11+0.17)/28</f>
        <v>0.30357142857142855</v>
      </c>
      <c r="C4" s="25">
        <v>28</v>
      </c>
      <c r="E4" s="4" t="s">
        <v>5</v>
      </c>
      <c r="F4" s="5">
        <f>(1.41+3.09+1.28+2.97)/4</f>
        <v>2.1875</v>
      </c>
      <c r="G4" s="25">
        <v>4</v>
      </c>
      <c r="I4" s="6" t="s">
        <v>9</v>
      </c>
      <c r="J4" s="7">
        <v>4.63</v>
      </c>
    </row>
    <row r="5" spans="1:10" x14ac:dyDescent="0.2">
      <c r="A5" s="4" t="s">
        <v>7</v>
      </c>
      <c r="B5" s="9">
        <f>(2.84+2.26+3.69+1.49+4.97+2.77+4.35+5.25+4.86+2.03+2.36+2.02+3.86+2.63+3.95+1.24+6.08+3.95+3.2+7.95+5.49+4.96+5.17+1.1+2.59+2.22+2.38+8.63+1.67+5.67+1.93+1.61+3.16+6.35+4.92+4.04+5.69+3.39+2.17+2.33+1.48+2.06+2.6+3.79)/44</f>
        <v>3.5715909090909079</v>
      </c>
      <c r="C5" s="26">
        <v>44</v>
      </c>
      <c r="E5" s="4" t="s">
        <v>8</v>
      </c>
      <c r="F5" s="9">
        <f>(7.32+1.71+1.44+1.97+2.04+0.82)/6</f>
        <v>2.5500000000000003</v>
      </c>
      <c r="G5" s="26">
        <v>6</v>
      </c>
      <c r="I5" s="6" t="s">
        <v>12</v>
      </c>
      <c r="J5" s="7">
        <v>4.22</v>
      </c>
    </row>
    <row r="6" spans="1:10" x14ac:dyDescent="0.2">
      <c r="A6" s="4" t="s">
        <v>10</v>
      </c>
      <c r="B6" s="9">
        <v>2.2599999999999998</v>
      </c>
      <c r="C6" s="26">
        <v>1</v>
      </c>
      <c r="E6" s="4" t="s">
        <v>11</v>
      </c>
      <c r="F6" s="9">
        <f>(0.41+1.07+1.28+1.59+2.29+1.84+2.32+0.22+2.64+1.74+1.7+2.36+2.86+0.82)/14</f>
        <v>1.6528571428571428</v>
      </c>
      <c r="G6" s="26">
        <v>14</v>
      </c>
      <c r="I6" s="6" t="s">
        <v>16</v>
      </c>
      <c r="J6" s="7">
        <v>4.5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1.9</v>
      </c>
      <c r="G7" s="25">
        <v>1</v>
      </c>
      <c r="I7" s="6" t="s">
        <v>19</v>
      </c>
      <c r="J7" s="7">
        <v>3.57</v>
      </c>
    </row>
    <row r="8" spans="1:10" x14ac:dyDescent="0.2">
      <c r="A8" s="4" t="s">
        <v>17</v>
      </c>
      <c r="B8" s="24">
        <f>(3.01+0.51+2.93+0.43+2.25+1.56)/6</f>
        <v>1.7816666666666665</v>
      </c>
      <c r="C8" s="25">
        <v>6</v>
      </c>
      <c r="E8" s="4" t="s">
        <v>18</v>
      </c>
      <c r="F8" s="5">
        <f>(0.27+0.8+0.25+0+0.05+0.52+0+0.08)/8</f>
        <v>0.24625000000000002</v>
      </c>
      <c r="G8" s="25">
        <v>8</v>
      </c>
      <c r="I8" s="6" t="s">
        <v>22</v>
      </c>
      <c r="J8" s="7">
        <v>5.65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(0.2+0)/2</f>
        <v>0.1</v>
      </c>
      <c r="G9" s="26">
        <v>2</v>
      </c>
      <c r="I9" s="6" t="s">
        <v>25</v>
      </c>
      <c r="J9" s="7">
        <v>4.47</v>
      </c>
    </row>
    <row r="10" spans="1:10" x14ac:dyDescent="0.2">
      <c r="A10" s="4" t="s">
        <v>23</v>
      </c>
      <c r="B10" s="9">
        <f>(0.27+1.11+0.27+0.31+0.27)/5</f>
        <v>0.44600000000000006</v>
      </c>
      <c r="C10" s="26">
        <v>5</v>
      </c>
      <c r="E10" s="4" t="s">
        <v>24</v>
      </c>
      <c r="F10" s="9">
        <f>(0.75+0.5+1.41+1.3+0.75)/5</f>
        <v>0.94199999999999995</v>
      </c>
      <c r="G10" s="26">
        <v>5</v>
      </c>
      <c r="I10" s="6" t="s">
        <v>28</v>
      </c>
      <c r="J10" s="7">
        <v>3.39</v>
      </c>
    </row>
    <row r="11" spans="1:10" x14ac:dyDescent="0.2">
      <c r="A11" s="4" t="s">
        <v>26</v>
      </c>
      <c r="B11" s="24">
        <f>(1.65+1.59+0.99)/3</f>
        <v>1.4100000000000001</v>
      </c>
      <c r="C11" s="25">
        <v>3</v>
      </c>
      <c r="E11" s="4" t="s">
        <v>27</v>
      </c>
      <c r="F11" s="5">
        <f>(1.03+0.82+0.11+1.94+0+0.46+1.16+1.99+2.75)/9</f>
        <v>1.1400000000000001</v>
      </c>
      <c r="G11" s="25">
        <v>9</v>
      </c>
      <c r="I11" s="6" t="s">
        <v>31</v>
      </c>
      <c r="J11" s="7">
        <v>6.44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34</v>
      </c>
      <c r="J12" s="7">
        <v>3.72</v>
      </c>
    </row>
    <row r="13" spans="1:10" x14ac:dyDescent="0.2">
      <c r="A13" s="4" t="s">
        <v>32</v>
      </c>
      <c r="B13" s="9" t="s">
        <v>14</v>
      </c>
      <c r="C13" s="26">
        <v>0</v>
      </c>
      <c r="E13" s="4" t="s">
        <v>33</v>
      </c>
      <c r="F13" s="9" t="s">
        <v>14</v>
      </c>
      <c r="G13" s="26">
        <v>0</v>
      </c>
      <c r="I13" s="6" t="s">
        <v>37</v>
      </c>
      <c r="J13" s="7">
        <v>4.16</v>
      </c>
    </row>
    <row r="14" spans="1:10" x14ac:dyDescent="0.2">
      <c r="A14" s="4" t="s">
        <v>35</v>
      </c>
      <c r="B14" s="9">
        <v>2.42</v>
      </c>
      <c r="C14" s="26">
        <v>1</v>
      </c>
      <c r="E14" s="4" t="s">
        <v>36</v>
      </c>
      <c r="F14" s="9">
        <f>(1.71+1.66+0.85+1.66+0.49+1.28+0.57+1.18+1.2+0.36+2.06+1.48+0.82+2.94+0.92+0.53+1.04+2.27+1.7+0.48+1.48+1.72+1.97+1.55+0.59+1.5+1.06+1.52+1.64+2.29)/30</f>
        <v>1.3506666666666669</v>
      </c>
      <c r="G14" s="26">
        <v>30</v>
      </c>
      <c r="I14" s="6" t="s">
        <v>40</v>
      </c>
      <c r="J14" s="7">
        <v>5.0199999999999996</v>
      </c>
    </row>
    <row r="15" spans="1:10" x14ac:dyDescent="0.2">
      <c r="A15" s="4" t="s">
        <v>38</v>
      </c>
      <c r="B15" s="24">
        <v>0.3</v>
      </c>
      <c r="C15" s="25">
        <v>1</v>
      </c>
      <c r="E15" s="4" t="s">
        <v>39</v>
      </c>
      <c r="F15" s="5" t="s">
        <v>14</v>
      </c>
      <c r="G15" s="25">
        <v>0</v>
      </c>
      <c r="I15" s="6" t="s">
        <v>43</v>
      </c>
      <c r="J15" s="7">
        <v>4.6900000000000004</v>
      </c>
    </row>
    <row r="16" spans="1:10" x14ac:dyDescent="0.2">
      <c r="A16" s="4" t="s">
        <v>41</v>
      </c>
      <c r="B16" s="24">
        <f>(0.39+1.01)/2</f>
        <v>0.7</v>
      </c>
      <c r="C16" s="25">
        <v>2</v>
      </c>
      <c r="E16" s="4" t="s">
        <v>42</v>
      </c>
      <c r="F16" s="5">
        <v>0.67</v>
      </c>
      <c r="G16" s="25">
        <v>1</v>
      </c>
      <c r="I16" s="6" t="s">
        <v>46</v>
      </c>
      <c r="J16" s="7">
        <v>4.09</v>
      </c>
    </row>
    <row r="17" spans="1:10" x14ac:dyDescent="0.2">
      <c r="A17" s="4" t="s">
        <v>44</v>
      </c>
      <c r="B17" s="9">
        <v>2.14</v>
      </c>
      <c r="C17" s="26">
        <v>1</v>
      </c>
      <c r="E17" s="4" t="s">
        <v>45</v>
      </c>
      <c r="F17" s="9">
        <f>(3.56+2.96+1.71+1.2+2.48+3.45+4.08+5.8+3.5+0.72)/10</f>
        <v>2.9459999999999997</v>
      </c>
      <c r="G17" s="26">
        <v>10</v>
      </c>
      <c r="I17" s="6" t="s">
        <v>49</v>
      </c>
      <c r="J17" s="7">
        <v>4.0999999999999996</v>
      </c>
    </row>
    <row r="18" spans="1:10" x14ac:dyDescent="0.2">
      <c r="A18" s="4" t="s">
        <v>47</v>
      </c>
      <c r="B18" s="9" t="s">
        <v>14</v>
      </c>
      <c r="C18" s="26">
        <v>0</v>
      </c>
      <c r="E18" s="4" t="s">
        <v>48</v>
      </c>
      <c r="F18" s="9">
        <f>(1.76+1.43+4.32+2.85+1.08+1.03+4.11+2.17+6.57+3+2.74+1.8+1.54+4.82+1.98+1.72+1.64+3.28+2.14+2.16+1.93+4.51+1.33+3.06+1.4)/25</f>
        <v>2.5748000000000002</v>
      </c>
      <c r="G18" s="26">
        <v>25</v>
      </c>
      <c r="I18" s="6" t="s">
        <v>52</v>
      </c>
      <c r="J18" s="7">
        <v>7.19</v>
      </c>
    </row>
    <row r="19" spans="1:10" x14ac:dyDescent="0.2">
      <c r="A19" s="4" t="s">
        <v>50</v>
      </c>
      <c r="B19" s="24" t="s">
        <v>14</v>
      </c>
      <c r="C19" s="25">
        <v>0</v>
      </c>
      <c r="E19" s="4" t="s">
        <v>51</v>
      </c>
      <c r="F19" s="5">
        <f>(1.88+1.6+0.73+1.6)/4</f>
        <v>1.4525000000000001</v>
      </c>
      <c r="G19" s="25">
        <v>4</v>
      </c>
      <c r="I19" s="6" t="s">
        <v>55</v>
      </c>
      <c r="J19" s="7">
        <v>4.49</v>
      </c>
    </row>
    <row r="20" spans="1:10" x14ac:dyDescent="0.2">
      <c r="A20" s="4" t="s">
        <v>53</v>
      </c>
      <c r="B20" s="24">
        <f>(0.1+0.31+1.51+0.19)/4</f>
        <v>0.52749999999999997</v>
      </c>
      <c r="C20" s="25">
        <v>4</v>
      </c>
      <c r="E20" s="4" t="s">
        <v>54</v>
      </c>
      <c r="F20" s="5">
        <f>(2.47+1.25+3.05+0.77)/4</f>
        <v>1.8849999999999998</v>
      </c>
      <c r="G20" s="25">
        <v>4</v>
      </c>
      <c r="I20" s="6" t="s">
        <v>58</v>
      </c>
      <c r="J20" s="7">
        <v>3.57</v>
      </c>
    </row>
    <row r="21" spans="1:10" ht="15.75" customHeight="1" x14ac:dyDescent="0.2">
      <c r="A21" s="4" t="s">
        <v>56</v>
      </c>
      <c r="B21" s="9" t="s">
        <v>14</v>
      </c>
      <c r="C21" s="26">
        <v>0</v>
      </c>
      <c r="E21" s="4" t="s">
        <v>57</v>
      </c>
      <c r="F21" s="9">
        <f>(1.42+1.77+1.87+0.73+3.05+0.78+0.58+0.51+0.45+0.42)/10</f>
        <v>1.1579999999999999</v>
      </c>
      <c r="G21" s="26">
        <v>10</v>
      </c>
      <c r="I21" s="6" t="s">
        <v>61</v>
      </c>
      <c r="J21" s="7">
        <v>5.07</v>
      </c>
    </row>
    <row r="22" spans="1:10" ht="15.75" customHeight="1" x14ac:dyDescent="0.2">
      <c r="A22" s="4" t="s">
        <v>59</v>
      </c>
      <c r="B22" s="9" t="s">
        <v>14</v>
      </c>
      <c r="C22" s="26">
        <v>0</v>
      </c>
      <c r="E22" s="4" t="s">
        <v>60</v>
      </c>
      <c r="F22" s="9" t="s">
        <v>14</v>
      </c>
      <c r="G22" s="26">
        <v>0</v>
      </c>
      <c r="I22" s="6" t="s">
        <v>64</v>
      </c>
      <c r="J22" s="7">
        <v>3.84</v>
      </c>
    </row>
    <row r="23" spans="1:10" ht="15.75" customHeight="1" x14ac:dyDescent="0.2">
      <c r="A23" s="4" t="s">
        <v>62</v>
      </c>
      <c r="B23" s="24">
        <v>1.76</v>
      </c>
      <c r="C23" s="25">
        <v>1</v>
      </c>
      <c r="E23" s="4" t="s">
        <v>63</v>
      </c>
      <c r="F23" s="5" t="s">
        <v>14</v>
      </c>
      <c r="G23" s="25">
        <v>0</v>
      </c>
      <c r="I23" s="6" t="s">
        <v>67</v>
      </c>
      <c r="J23" s="7">
        <v>5.03</v>
      </c>
    </row>
    <row r="24" spans="1:10" ht="15.75" customHeight="1" x14ac:dyDescent="0.2">
      <c r="A24" s="4" t="s">
        <v>65</v>
      </c>
      <c r="B24" s="24" t="s">
        <v>14</v>
      </c>
      <c r="C24" s="25">
        <v>0</v>
      </c>
      <c r="E24" s="4" t="s">
        <v>66</v>
      </c>
      <c r="F24" s="5" t="s">
        <v>14</v>
      </c>
      <c r="G24" s="25">
        <v>0</v>
      </c>
      <c r="I24" s="6" t="s">
        <v>70</v>
      </c>
      <c r="J24" s="7">
        <v>4.76</v>
      </c>
    </row>
    <row r="25" spans="1:10" ht="15.75" customHeight="1" x14ac:dyDescent="0.2">
      <c r="A25" s="4" t="s">
        <v>68</v>
      </c>
      <c r="B25" s="9">
        <f>(0.72+0.27+0.89+0.66+0.52)/5</f>
        <v>0.61199999999999999</v>
      </c>
      <c r="C25" s="26">
        <v>5</v>
      </c>
      <c r="E25" s="4" t="s">
        <v>69</v>
      </c>
      <c r="F25" s="9">
        <f>(0.42+1.03)/2</f>
        <v>0.72499999999999998</v>
      </c>
      <c r="G25" s="26">
        <v>2</v>
      </c>
      <c r="I25" s="6" t="s">
        <v>73</v>
      </c>
      <c r="J25" s="7">
        <v>4.3499999999999996</v>
      </c>
    </row>
    <row r="26" spans="1:10" ht="15.75" customHeight="1" x14ac:dyDescent="0.2">
      <c r="A26" s="4" t="s">
        <v>71</v>
      </c>
      <c r="B26" s="9" t="s">
        <v>14</v>
      </c>
      <c r="C26" s="26">
        <v>0</v>
      </c>
      <c r="E26" s="4" t="s">
        <v>72</v>
      </c>
      <c r="F26" s="9">
        <v>2.36</v>
      </c>
      <c r="G26" s="26">
        <v>1</v>
      </c>
      <c r="I26" s="6" t="s">
        <v>76</v>
      </c>
      <c r="J26" s="7">
        <v>4.01</v>
      </c>
    </row>
    <row r="27" spans="1:10" ht="15.75" customHeight="1" x14ac:dyDescent="0.2">
      <c r="A27" s="4" t="s">
        <v>74</v>
      </c>
      <c r="B27" s="24">
        <v>0.95</v>
      </c>
      <c r="C27" s="25">
        <v>1</v>
      </c>
      <c r="E27" s="4" t="s">
        <v>75</v>
      </c>
      <c r="F27" s="5">
        <f>(0.13+1.17+1.75+1.46+1.38+0.89+1.24)/7</f>
        <v>1.1457142857142857</v>
      </c>
      <c r="G27" s="25">
        <v>7</v>
      </c>
      <c r="I27" s="6" t="s">
        <v>79</v>
      </c>
      <c r="J27" s="7">
        <v>3.55</v>
      </c>
    </row>
    <row r="28" spans="1:10" ht="15.75" customHeight="1" x14ac:dyDescent="0.2">
      <c r="A28" s="4" t="s">
        <v>77</v>
      </c>
      <c r="B28" s="24">
        <f>(2.8+2.43+1.4+0.66+3.34+3.21)/6</f>
        <v>2.3066666666666666</v>
      </c>
      <c r="C28" s="25">
        <v>6</v>
      </c>
      <c r="E28" s="4" t="s">
        <v>78</v>
      </c>
      <c r="F28" s="5">
        <f>(1.82+0.79+1.65+0.54+2.21+1.28+2.47+0.48+2.28+1.76+1.58+2.1+1.7+0+0.86+0.13+2.07)/17</f>
        <v>1.3952941176470588</v>
      </c>
      <c r="G28" s="25">
        <v>17</v>
      </c>
      <c r="I28" s="6" t="s">
        <v>82</v>
      </c>
      <c r="J28" s="7">
        <v>3.37</v>
      </c>
    </row>
    <row r="29" spans="1:10" ht="15.75" customHeight="1" x14ac:dyDescent="0.2">
      <c r="A29" s="4" t="s">
        <v>80</v>
      </c>
      <c r="B29" s="9">
        <f>(1.34+1.1+0.84)/3</f>
        <v>1.0933333333333335</v>
      </c>
      <c r="C29" s="26">
        <v>3</v>
      </c>
      <c r="E29" s="4" t="s">
        <v>81</v>
      </c>
      <c r="F29" s="9" t="s">
        <v>14</v>
      </c>
      <c r="G29" s="26">
        <v>0</v>
      </c>
      <c r="I29" s="6" t="s">
        <v>85</v>
      </c>
      <c r="J29" s="7">
        <v>3.33</v>
      </c>
    </row>
    <row r="30" spans="1:10" ht="15.75" customHeight="1" x14ac:dyDescent="0.2">
      <c r="A30" s="4" t="s">
        <v>83</v>
      </c>
      <c r="B30" s="9">
        <f>(1.56+0.89)/2</f>
        <v>1.2250000000000001</v>
      </c>
      <c r="C30" s="26">
        <v>2</v>
      </c>
      <c r="E30" s="4" t="s">
        <v>84</v>
      </c>
      <c r="F30" s="9">
        <f>(2.34+1.21)/2</f>
        <v>1.7749999999999999</v>
      </c>
      <c r="G30" s="26">
        <v>2</v>
      </c>
      <c r="I30" s="6" t="s">
        <v>88</v>
      </c>
      <c r="J30" s="7">
        <v>4.2</v>
      </c>
    </row>
    <row r="31" spans="1:10" ht="15.75" customHeight="1" x14ac:dyDescent="0.2">
      <c r="A31" s="4" t="s">
        <v>86</v>
      </c>
      <c r="B31" s="24">
        <f>(1.73+2.86)/2</f>
        <v>2.2949999999999999</v>
      </c>
      <c r="C31" s="25">
        <v>2</v>
      </c>
      <c r="E31" s="4" t="s">
        <v>87</v>
      </c>
      <c r="F31" s="5">
        <v>2.0699999999999998</v>
      </c>
      <c r="G31" s="25">
        <v>1</v>
      </c>
      <c r="I31" s="6" t="s">
        <v>90</v>
      </c>
      <c r="J31" s="7">
        <v>4.51</v>
      </c>
    </row>
    <row r="32" spans="1:10" ht="15.75" customHeight="1" x14ac:dyDescent="0.2">
      <c r="A32" s="4" t="s">
        <v>64</v>
      </c>
      <c r="B32" s="24">
        <v>1.69</v>
      </c>
      <c r="C32" s="25">
        <v>1</v>
      </c>
      <c r="E32" s="4" t="s">
        <v>89</v>
      </c>
      <c r="F32" s="5">
        <f>(1.51+1.86+2.5+1.85+3.86)/5</f>
        <v>2.3159999999999998</v>
      </c>
      <c r="G32" s="25">
        <v>5</v>
      </c>
      <c r="I32" s="6" t="s">
        <v>93</v>
      </c>
      <c r="J32" s="7">
        <v>6.86</v>
      </c>
    </row>
    <row r="33" spans="1:10" ht="15.75" customHeight="1" x14ac:dyDescent="0.2">
      <c r="A33" s="4" t="s">
        <v>91</v>
      </c>
      <c r="B33" s="9" t="s">
        <v>14</v>
      </c>
      <c r="C33" s="26">
        <v>0</v>
      </c>
      <c r="E33" s="4" t="s">
        <v>92</v>
      </c>
      <c r="F33" s="9">
        <f>(1.07+0.29+0.66)/3</f>
        <v>0.67333333333333334</v>
      </c>
      <c r="G33" s="26">
        <v>3</v>
      </c>
      <c r="I33" s="6" t="s">
        <v>96</v>
      </c>
      <c r="J33" s="7">
        <v>4.12</v>
      </c>
    </row>
    <row r="34" spans="1:10" ht="15.75" customHeight="1" x14ac:dyDescent="0.2">
      <c r="A34" s="4" t="s">
        <v>94</v>
      </c>
      <c r="B34" s="9">
        <v>1.85</v>
      </c>
      <c r="C34" s="26">
        <v>1</v>
      </c>
      <c r="E34" s="4" t="s">
        <v>95</v>
      </c>
      <c r="F34" s="9">
        <v>0.25</v>
      </c>
      <c r="G34" s="26">
        <v>1</v>
      </c>
      <c r="I34" s="6" t="s">
        <v>99</v>
      </c>
      <c r="J34" s="7">
        <v>3.66</v>
      </c>
    </row>
    <row r="35" spans="1:10" ht="15.75" customHeight="1" x14ac:dyDescent="0.2">
      <c r="A35" s="4" t="s">
        <v>97</v>
      </c>
      <c r="B35" s="24" t="s">
        <v>14</v>
      </c>
      <c r="C35" s="25">
        <v>0</v>
      </c>
      <c r="E35" s="4" t="s">
        <v>98</v>
      </c>
      <c r="F35" s="5">
        <f>(1.02+3.85)/2</f>
        <v>2.4350000000000001</v>
      </c>
      <c r="G35" s="25">
        <v>2</v>
      </c>
      <c r="I35" s="6" t="s">
        <v>102</v>
      </c>
      <c r="J35" s="7">
        <v>3.31</v>
      </c>
    </row>
    <row r="36" spans="1:10" ht="15.75" customHeight="1" x14ac:dyDescent="0.2">
      <c r="A36" s="4" t="s">
        <v>100</v>
      </c>
      <c r="B36" s="24" t="s">
        <v>14</v>
      </c>
      <c r="C36" s="25">
        <v>0</v>
      </c>
      <c r="E36" s="4" t="s">
        <v>101</v>
      </c>
      <c r="F36" s="5">
        <f>(0.4+0.31+0.37+0.35)/4</f>
        <v>0.35750000000000004</v>
      </c>
      <c r="G36" s="25">
        <v>4</v>
      </c>
      <c r="I36" s="6" t="s">
        <v>104</v>
      </c>
      <c r="J36" s="7">
        <v>3.56</v>
      </c>
    </row>
    <row r="37" spans="1:10" ht="15.75" customHeight="1" x14ac:dyDescent="0.2">
      <c r="A37" s="4" t="s">
        <v>103</v>
      </c>
      <c r="B37" s="9" t="s">
        <v>14</v>
      </c>
      <c r="C37" s="26">
        <v>0</v>
      </c>
      <c r="I37" s="6" t="s">
        <v>105</v>
      </c>
      <c r="J37" s="7">
        <v>4.45</v>
      </c>
    </row>
    <row r="38" spans="1:10" ht="15.75" customHeight="1" x14ac:dyDescent="0.2">
      <c r="I38" s="6" t="s">
        <v>106</v>
      </c>
      <c r="J38" s="7">
        <v>3.85</v>
      </c>
    </row>
    <row r="39" spans="1:10" ht="15.75" customHeight="1" x14ac:dyDescent="0.2">
      <c r="I39" s="6" t="s">
        <v>107</v>
      </c>
      <c r="J39" s="7">
        <v>4.9000000000000004</v>
      </c>
    </row>
    <row r="40" spans="1:10" ht="15.75" customHeight="1" x14ac:dyDescent="0.2">
      <c r="I40" s="6" t="s">
        <v>108</v>
      </c>
      <c r="J40" s="7">
        <v>3.79</v>
      </c>
    </row>
    <row r="41" spans="1:10" ht="15.75" customHeight="1" x14ac:dyDescent="0.2">
      <c r="I41" s="6" t="s">
        <v>109</v>
      </c>
      <c r="J41" s="7">
        <v>4.4800000000000004</v>
      </c>
    </row>
    <row r="42" spans="1:10" ht="15.75" customHeight="1" x14ac:dyDescent="0.2">
      <c r="I42" s="6" t="s">
        <v>110</v>
      </c>
      <c r="J42" s="7">
        <v>4.59</v>
      </c>
    </row>
    <row r="43" spans="1:10" ht="15.75" customHeight="1" x14ac:dyDescent="0.2">
      <c r="I43" s="6" t="s">
        <v>111</v>
      </c>
      <c r="J43" s="7">
        <v>2.78</v>
      </c>
    </row>
    <row r="44" spans="1:10" ht="15.75" customHeight="1" x14ac:dyDescent="0.2">
      <c r="I44" s="6" t="s">
        <v>112</v>
      </c>
      <c r="J44" s="7">
        <v>4.0199999999999996</v>
      </c>
    </row>
    <row r="45" spans="1:10" ht="15.75" customHeight="1" x14ac:dyDescent="0.2">
      <c r="I45" s="6" t="s">
        <v>113</v>
      </c>
      <c r="J45" s="7">
        <v>4.3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x14ac:dyDescent="0.2">
      <c r="A1" s="31" t="s">
        <v>0</v>
      </c>
      <c r="B1" s="32"/>
      <c r="C1" s="32"/>
      <c r="D1" s="32"/>
      <c r="E1" s="32"/>
      <c r="F1" s="32"/>
      <c r="G1" s="32"/>
      <c r="H1" s="32"/>
    </row>
    <row r="2" spans="1:10" x14ac:dyDescent="0.2">
      <c r="A2" s="33" t="s">
        <v>127</v>
      </c>
      <c r="B2" s="32"/>
      <c r="C2" s="32"/>
      <c r="D2" s="32"/>
      <c r="E2" s="32"/>
      <c r="F2" s="32"/>
      <c r="G2" s="32"/>
      <c r="H2" s="32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128</v>
      </c>
    </row>
    <row r="4" spans="1:10" x14ac:dyDescent="0.2">
      <c r="A4" s="4" t="s">
        <v>4</v>
      </c>
      <c r="B4" s="24">
        <v>2.64</v>
      </c>
      <c r="C4" s="6">
        <v>1</v>
      </c>
      <c r="E4" s="4" t="s">
        <v>5</v>
      </c>
      <c r="F4" s="5">
        <f>(11.82+10.4+8.92+15.11)/4</f>
        <v>11.5625</v>
      </c>
      <c r="G4" s="6">
        <v>4</v>
      </c>
      <c r="I4" s="6" t="s">
        <v>9</v>
      </c>
      <c r="J4" s="7">
        <v>3.53</v>
      </c>
    </row>
    <row r="5" spans="1:10" x14ac:dyDescent="0.2">
      <c r="A5" s="4" t="s">
        <v>7</v>
      </c>
      <c r="B5" s="27">
        <f>(2.62+6.21+2.95+3.07+6.72+4.49+2.95+4.84+3.89+1.96+5.04+4.66+3.62+3.86+4.71+4.76+4.23+7.46+5.72+6.48+13.15+8.35+7.72+6.64+9.05+2.98+5.37+4.69+10.78+7.73+4.92+5.77+3.75+7.13+3.88+6.21+3.44+7.63+7.01+3.21+4.14+7.61+4.7+6+1.56)/45</f>
        <v>5.4146666666666663</v>
      </c>
      <c r="C5" s="28">
        <v>45</v>
      </c>
      <c r="E5" s="4" t="s">
        <v>8</v>
      </c>
      <c r="F5" s="27">
        <f>(3.75+3.65+4.13+6.06+4.48+4)/6</f>
        <v>4.3449999999999998</v>
      </c>
      <c r="G5" s="28">
        <v>6</v>
      </c>
      <c r="I5" s="6" t="s">
        <v>12</v>
      </c>
      <c r="J5" s="7">
        <v>3.47</v>
      </c>
    </row>
    <row r="6" spans="1:10" x14ac:dyDescent="0.2">
      <c r="A6" s="4" t="s">
        <v>10</v>
      </c>
      <c r="B6" s="29">
        <v>16.97</v>
      </c>
      <c r="C6" s="28">
        <v>1</v>
      </c>
      <c r="E6" s="4" t="s">
        <v>11</v>
      </c>
      <c r="F6" s="27">
        <f>(5.79+7.28+6.5+7.11+8.42+9.1+7.99+5.78+5.07+6.64+6.48+8.12+8.49+7.1)/14</f>
        <v>7.1335714285714289</v>
      </c>
      <c r="G6" s="28">
        <v>14</v>
      </c>
      <c r="I6" s="6" t="s">
        <v>16</v>
      </c>
      <c r="J6" s="7">
        <v>4.0999999999999996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4.66</v>
      </c>
      <c r="G7" s="6">
        <v>1</v>
      </c>
      <c r="I7" s="6" t="s">
        <v>19</v>
      </c>
      <c r="J7" s="7">
        <v>3.76</v>
      </c>
    </row>
    <row r="8" spans="1:10" x14ac:dyDescent="0.2">
      <c r="A8" s="4" t="s">
        <v>17</v>
      </c>
      <c r="B8" s="24">
        <f>(7.5+4.05+8.42+1.13+6.79+6.69)/6</f>
        <v>5.7633333333333328</v>
      </c>
      <c r="C8" s="6">
        <v>6</v>
      </c>
      <c r="E8" s="4" t="s">
        <v>18</v>
      </c>
      <c r="F8" s="5">
        <f>(11.8+12.68+10.71+10.78+9.39+11.16+10.11+9.32)/8</f>
        <v>10.743749999999999</v>
      </c>
      <c r="G8" s="6">
        <v>8</v>
      </c>
      <c r="I8" s="6" t="s">
        <v>22</v>
      </c>
      <c r="J8" s="7">
        <v>4.62</v>
      </c>
    </row>
    <row r="9" spans="1:10" x14ac:dyDescent="0.2">
      <c r="A9" s="4" t="s">
        <v>20</v>
      </c>
      <c r="B9" s="27" t="s">
        <v>14</v>
      </c>
      <c r="C9" s="28">
        <v>0</v>
      </c>
      <c r="E9" s="4" t="s">
        <v>21</v>
      </c>
      <c r="F9" s="27">
        <f>(9.89+10.62+11.31+15.4)/4</f>
        <v>11.805</v>
      </c>
      <c r="G9" s="28">
        <v>4</v>
      </c>
      <c r="I9" s="6" t="s">
        <v>25</v>
      </c>
      <c r="J9" s="7">
        <v>3.73</v>
      </c>
    </row>
    <row r="10" spans="1:10" x14ac:dyDescent="0.2">
      <c r="A10" s="4" t="s">
        <v>23</v>
      </c>
      <c r="B10" s="27">
        <f>(8.77+5.54+6.67+4.84+5.59)/5</f>
        <v>6.2819999999999991</v>
      </c>
      <c r="C10" s="28">
        <v>5</v>
      </c>
      <c r="E10" s="4" t="s">
        <v>24</v>
      </c>
      <c r="F10" s="27">
        <f>(3.21+9.42+8.48+12.28+6.1)/5</f>
        <v>7.8980000000000006</v>
      </c>
      <c r="G10" s="28">
        <v>5</v>
      </c>
      <c r="I10" s="6" t="s">
        <v>28</v>
      </c>
      <c r="J10" s="7">
        <v>4.09</v>
      </c>
    </row>
    <row r="11" spans="1:10" x14ac:dyDescent="0.2">
      <c r="A11" s="4" t="s">
        <v>26</v>
      </c>
      <c r="B11" s="24">
        <f>(5.11+4.03+1.57)/3</f>
        <v>3.5700000000000003</v>
      </c>
      <c r="C11" s="6">
        <v>3</v>
      </c>
      <c r="E11" s="4" t="s">
        <v>27</v>
      </c>
      <c r="F11" s="5">
        <f>(4.23+7.29+5.38+2.15+5.34+5.25+7.14+1.35)/8</f>
        <v>4.7662499999999994</v>
      </c>
      <c r="G11" s="6">
        <v>8</v>
      </c>
      <c r="I11" s="6" t="s">
        <v>31</v>
      </c>
      <c r="J11" s="7">
        <v>5.82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34</v>
      </c>
      <c r="J12" s="7">
        <v>3.85</v>
      </c>
    </row>
    <row r="13" spans="1:10" x14ac:dyDescent="0.2">
      <c r="A13" s="4" t="s">
        <v>32</v>
      </c>
      <c r="B13" s="27">
        <v>4.75</v>
      </c>
      <c r="C13" s="28">
        <v>1</v>
      </c>
      <c r="E13" s="4" t="s">
        <v>33</v>
      </c>
      <c r="F13" s="27" t="s">
        <v>14</v>
      </c>
      <c r="G13" s="28">
        <v>0</v>
      </c>
      <c r="I13" s="6" t="s">
        <v>37</v>
      </c>
      <c r="J13" s="7">
        <v>2.2200000000000002</v>
      </c>
    </row>
    <row r="14" spans="1:10" x14ac:dyDescent="0.2">
      <c r="A14" s="4" t="s">
        <v>35</v>
      </c>
      <c r="B14" s="27">
        <v>6.36</v>
      </c>
      <c r="C14" s="28">
        <v>1</v>
      </c>
      <c r="E14" s="4" t="s">
        <v>36</v>
      </c>
      <c r="F14" s="29">
        <f>(4.84+3.36+3.35+5.13+1.82+3.69+3.52+1.5+2.68+3.58+5.41+4.81+3.54+6.58+2.98+3.19+4.25+3.81+4.39+3.84+3.32+4.99+5.58+5.51+3.43+4.65+2.67+1.35+3.81+4.81)/30</f>
        <v>3.8796666666666666</v>
      </c>
      <c r="G14" s="28">
        <v>30</v>
      </c>
      <c r="I14" s="6" t="s">
        <v>40</v>
      </c>
      <c r="J14" s="7">
        <v>4.38</v>
      </c>
    </row>
    <row r="15" spans="1:10" x14ac:dyDescent="0.2">
      <c r="A15" s="4" t="s">
        <v>38</v>
      </c>
      <c r="B15" s="24">
        <v>4.51</v>
      </c>
      <c r="C15" s="6">
        <v>1</v>
      </c>
      <c r="E15" s="4" t="s">
        <v>39</v>
      </c>
      <c r="F15" s="5" t="s">
        <v>14</v>
      </c>
      <c r="G15" s="6">
        <v>0</v>
      </c>
      <c r="I15" s="6" t="s">
        <v>43</v>
      </c>
      <c r="J15" s="7">
        <v>3.96</v>
      </c>
    </row>
    <row r="16" spans="1:10" x14ac:dyDescent="0.2">
      <c r="A16" s="4" t="s">
        <v>41</v>
      </c>
      <c r="B16" s="24">
        <f>(3.91+6.72+4.7)/3</f>
        <v>5.1099999999999994</v>
      </c>
      <c r="C16" s="6">
        <v>3</v>
      </c>
      <c r="E16" s="4" t="s">
        <v>42</v>
      </c>
      <c r="F16" s="5">
        <v>7.6</v>
      </c>
      <c r="G16" s="6">
        <v>1</v>
      </c>
      <c r="I16" s="6" t="s">
        <v>46</v>
      </c>
      <c r="J16" s="7">
        <v>3.57</v>
      </c>
    </row>
    <row r="17" spans="1:10" x14ac:dyDescent="0.2">
      <c r="A17" s="4" t="s">
        <v>44</v>
      </c>
      <c r="B17" s="27">
        <v>7.71</v>
      </c>
      <c r="C17" s="28">
        <v>1</v>
      </c>
      <c r="E17" s="4" t="s">
        <v>45</v>
      </c>
      <c r="F17" s="27">
        <f>(3.67+3.3+2.86+2.42+2.52+3.66+2.83+5.6+2.49+2.89)/10</f>
        <v>3.2240000000000002</v>
      </c>
      <c r="G17" s="28">
        <v>10</v>
      </c>
      <c r="I17" s="6" t="s">
        <v>49</v>
      </c>
      <c r="J17" s="7">
        <v>3.5</v>
      </c>
    </row>
    <row r="18" spans="1:10" x14ac:dyDescent="0.2">
      <c r="A18" s="4" t="s">
        <v>47</v>
      </c>
      <c r="B18" s="27" t="s">
        <v>14</v>
      </c>
      <c r="C18" s="28">
        <v>0</v>
      </c>
      <c r="E18" s="4" t="s">
        <v>48</v>
      </c>
      <c r="F18" s="27">
        <f>(7.49+5.22+6.34+4.25+6.08+5.81+4.5+7.14+4.54+9.26+5.32+7.77+13.06+6.31+5.19+4.16+7+6.12+5.66+4.41+4.5+5.58+4.12+4.75+4.08+4.78)/26</f>
        <v>5.901538461538463</v>
      </c>
      <c r="G18" s="28">
        <v>26</v>
      </c>
      <c r="I18" s="6" t="s">
        <v>52</v>
      </c>
      <c r="J18" s="7">
        <v>5.38</v>
      </c>
    </row>
    <row r="19" spans="1:10" x14ac:dyDescent="0.2">
      <c r="A19" s="4" t="s">
        <v>50</v>
      </c>
      <c r="B19" s="24" t="s">
        <v>14</v>
      </c>
      <c r="C19" s="6">
        <v>0</v>
      </c>
      <c r="E19" s="4" t="s">
        <v>51</v>
      </c>
      <c r="F19" s="5">
        <f>(4.25+4.35+3.96+4.23)/4</f>
        <v>4.1974999999999998</v>
      </c>
      <c r="G19" s="6">
        <v>4</v>
      </c>
      <c r="I19" s="6" t="s">
        <v>55</v>
      </c>
      <c r="J19" s="7">
        <v>4.12</v>
      </c>
    </row>
    <row r="20" spans="1:10" x14ac:dyDescent="0.2">
      <c r="A20" s="4" t="s">
        <v>53</v>
      </c>
      <c r="B20" s="24">
        <f>(10.18+11.42+11.28+10.98)/4</f>
        <v>10.965</v>
      </c>
      <c r="C20" s="6">
        <v>4</v>
      </c>
      <c r="E20" s="4" t="s">
        <v>54</v>
      </c>
      <c r="F20" s="5">
        <f>(9.67+7.85+9.28+7.16)/4</f>
        <v>8.4899999999999984</v>
      </c>
      <c r="G20" s="6">
        <v>4</v>
      </c>
      <c r="I20" s="6" t="s">
        <v>58</v>
      </c>
      <c r="J20" s="7">
        <v>3.62</v>
      </c>
    </row>
    <row r="21" spans="1:10" ht="15.75" customHeight="1" x14ac:dyDescent="0.2">
      <c r="A21" s="4" t="s">
        <v>56</v>
      </c>
      <c r="B21" s="27" t="s">
        <v>14</v>
      </c>
      <c r="C21" s="28">
        <v>0</v>
      </c>
      <c r="E21" s="4" t="s">
        <v>57</v>
      </c>
      <c r="F21" s="27">
        <f>(6.01+4.21+5.04+5.33+4.86+4.8+8.79+7.08+5.86+4.79)/10</f>
        <v>5.6769999999999987</v>
      </c>
      <c r="G21" s="28">
        <v>10</v>
      </c>
      <c r="I21" s="6" t="s">
        <v>61</v>
      </c>
      <c r="J21" s="7">
        <v>4.3099999999999996</v>
      </c>
    </row>
    <row r="22" spans="1:10" ht="15.75" customHeight="1" x14ac:dyDescent="0.2">
      <c r="A22" s="4" t="s">
        <v>59</v>
      </c>
      <c r="B22" s="27" t="s">
        <v>14</v>
      </c>
      <c r="C22" s="28">
        <v>0</v>
      </c>
      <c r="E22" s="4" t="s">
        <v>60</v>
      </c>
      <c r="F22" s="27" t="s">
        <v>14</v>
      </c>
      <c r="G22" s="28">
        <v>0</v>
      </c>
      <c r="I22" s="6" t="s">
        <v>64</v>
      </c>
      <c r="J22" s="7">
        <v>3.36</v>
      </c>
    </row>
    <row r="23" spans="1:10" ht="15.75" customHeight="1" x14ac:dyDescent="0.2">
      <c r="A23" s="4" t="s">
        <v>62</v>
      </c>
      <c r="B23" s="24">
        <v>2.65</v>
      </c>
      <c r="C23" s="6">
        <v>1</v>
      </c>
      <c r="E23" s="4" t="s">
        <v>63</v>
      </c>
      <c r="F23" s="5" t="s">
        <v>14</v>
      </c>
      <c r="G23" s="6">
        <v>0</v>
      </c>
      <c r="I23" s="6" t="s">
        <v>67</v>
      </c>
      <c r="J23" s="7">
        <v>4.25</v>
      </c>
    </row>
    <row r="24" spans="1:10" ht="15.75" customHeight="1" x14ac:dyDescent="0.2">
      <c r="A24" s="4" t="s">
        <v>65</v>
      </c>
      <c r="B24" s="24" t="s">
        <v>14</v>
      </c>
      <c r="C24" s="6">
        <v>0</v>
      </c>
      <c r="E24" s="4" t="s">
        <v>66</v>
      </c>
      <c r="F24" s="5" t="s">
        <v>14</v>
      </c>
      <c r="G24" s="6">
        <v>0</v>
      </c>
      <c r="I24" s="6" t="s">
        <v>70</v>
      </c>
      <c r="J24" s="7">
        <v>4.17</v>
      </c>
    </row>
    <row r="25" spans="1:10" ht="15.75" customHeight="1" x14ac:dyDescent="0.2">
      <c r="A25" s="4" t="s">
        <v>68</v>
      </c>
      <c r="B25" s="27">
        <f>(0.23+8.72+10.28+5.99)/4</f>
        <v>6.3049999999999997</v>
      </c>
      <c r="C25" s="28">
        <v>4</v>
      </c>
      <c r="E25" s="4" t="s">
        <v>69</v>
      </c>
      <c r="F25" s="27">
        <f>(8.01+4.9)/2</f>
        <v>6.4550000000000001</v>
      </c>
      <c r="G25" s="28">
        <v>2</v>
      </c>
      <c r="I25" s="6" t="s">
        <v>73</v>
      </c>
      <c r="J25" s="7">
        <v>4.33</v>
      </c>
    </row>
    <row r="26" spans="1:10" ht="15.75" customHeight="1" x14ac:dyDescent="0.2">
      <c r="A26" s="4" t="s">
        <v>71</v>
      </c>
      <c r="B26" s="27" t="s">
        <v>14</v>
      </c>
      <c r="C26" s="28">
        <v>0</v>
      </c>
      <c r="E26" s="4" t="s">
        <v>72</v>
      </c>
      <c r="F26" s="27">
        <v>16.47</v>
      </c>
      <c r="G26" s="28">
        <v>1</v>
      </c>
      <c r="I26" s="6" t="s">
        <v>76</v>
      </c>
      <c r="J26" s="7">
        <v>3.88</v>
      </c>
    </row>
    <row r="27" spans="1:10" ht="15.75" customHeight="1" x14ac:dyDescent="0.2">
      <c r="A27" s="4" t="s">
        <v>74</v>
      </c>
      <c r="B27" s="24">
        <v>10.19</v>
      </c>
      <c r="C27" s="6">
        <v>1</v>
      </c>
      <c r="E27" s="4" t="s">
        <v>75</v>
      </c>
      <c r="F27" s="5">
        <f>(5+4.7+2.82+4.18+5.33+4.84+5.99)/7</f>
        <v>4.694285714285714</v>
      </c>
      <c r="G27" s="6">
        <v>7</v>
      </c>
      <c r="I27" s="6" t="s">
        <v>79</v>
      </c>
      <c r="J27" s="7">
        <v>3.27</v>
      </c>
    </row>
    <row r="28" spans="1:10" ht="15.75" customHeight="1" x14ac:dyDescent="0.2">
      <c r="A28" s="4" t="s">
        <v>77</v>
      </c>
      <c r="B28" s="24">
        <f>(5.24+5.37+4.86+3.87+6.18+5.43)/6</f>
        <v>5.1583333333333332</v>
      </c>
      <c r="C28" s="6">
        <v>6</v>
      </c>
      <c r="E28" s="4" t="s">
        <v>78</v>
      </c>
      <c r="F28" s="5">
        <f>(7+7.47+9.21+0.4+5.46+3.28+9.05+6.18+4.72+7.67+6.45+5.79+9.66+7.05+4.23+5.72+6.97)/17</f>
        <v>6.2535294117647062</v>
      </c>
      <c r="G28" s="6">
        <v>17</v>
      </c>
      <c r="I28" s="6" t="s">
        <v>82</v>
      </c>
      <c r="J28" s="7">
        <v>3.31</v>
      </c>
    </row>
    <row r="29" spans="1:10" ht="15.75" customHeight="1" x14ac:dyDescent="0.2">
      <c r="A29" s="4" t="s">
        <v>80</v>
      </c>
      <c r="B29" s="27">
        <f>(5.68+6.93+7.55)/3</f>
        <v>6.72</v>
      </c>
      <c r="C29" s="28">
        <v>3</v>
      </c>
      <c r="E29" s="4" t="s">
        <v>81</v>
      </c>
      <c r="F29" s="27" t="s">
        <v>14</v>
      </c>
      <c r="G29" s="28">
        <v>0</v>
      </c>
      <c r="I29" s="6" t="s">
        <v>85</v>
      </c>
      <c r="J29" s="7">
        <v>4.26</v>
      </c>
    </row>
    <row r="30" spans="1:10" ht="15.75" customHeight="1" x14ac:dyDescent="0.2">
      <c r="A30" s="4" t="s">
        <v>83</v>
      </c>
      <c r="B30" s="27">
        <f>(5.56+5.2)/2</f>
        <v>5.38</v>
      </c>
      <c r="C30" s="28">
        <v>2</v>
      </c>
      <c r="E30" s="4" t="s">
        <v>84</v>
      </c>
      <c r="F30" s="27">
        <v>6.62</v>
      </c>
      <c r="G30" s="28">
        <v>1</v>
      </c>
      <c r="I30" s="6" t="s">
        <v>88</v>
      </c>
      <c r="J30" s="7">
        <v>3.71</v>
      </c>
    </row>
    <row r="31" spans="1:10" ht="15.75" customHeight="1" x14ac:dyDescent="0.2">
      <c r="A31" s="4" t="s">
        <v>86</v>
      </c>
      <c r="B31" s="24">
        <f>(3.02+4.15)/2</f>
        <v>3.585</v>
      </c>
      <c r="C31" s="6">
        <v>2</v>
      </c>
      <c r="E31" s="4" t="s">
        <v>87</v>
      </c>
      <c r="F31" s="5">
        <v>7.94</v>
      </c>
      <c r="G31" s="6">
        <v>1</v>
      </c>
      <c r="I31" s="6" t="s">
        <v>90</v>
      </c>
      <c r="J31" s="7">
        <v>3.24</v>
      </c>
    </row>
    <row r="32" spans="1:10" ht="15.75" customHeight="1" x14ac:dyDescent="0.2">
      <c r="A32" s="4" t="s">
        <v>64</v>
      </c>
      <c r="B32" s="24">
        <v>7.59</v>
      </c>
      <c r="C32" s="6">
        <v>1</v>
      </c>
      <c r="E32" s="4" t="s">
        <v>89</v>
      </c>
      <c r="F32" s="5">
        <f>(6.8+4.98+3.75+5.6+7.25)/5</f>
        <v>5.6760000000000002</v>
      </c>
      <c r="G32" s="6">
        <v>5</v>
      </c>
      <c r="I32" s="6" t="s">
        <v>93</v>
      </c>
      <c r="J32" s="7">
        <v>4.05</v>
      </c>
    </row>
    <row r="33" spans="1:10" ht="15.75" customHeight="1" x14ac:dyDescent="0.2">
      <c r="A33" s="4" t="s">
        <v>91</v>
      </c>
      <c r="B33" s="27" t="s">
        <v>14</v>
      </c>
      <c r="C33" s="28">
        <v>0</v>
      </c>
      <c r="E33" s="4" t="s">
        <v>92</v>
      </c>
      <c r="F33" s="27">
        <f>(10.34+9.22+9.23)/3</f>
        <v>9.5966666666666676</v>
      </c>
      <c r="G33" s="28">
        <v>3</v>
      </c>
      <c r="I33" s="6" t="s">
        <v>96</v>
      </c>
      <c r="J33" s="7">
        <v>3.64</v>
      </c>
    </row>
    <row r="34" spans="1:10" ht="15.75" customHeight="1" x14ac:dyDescent="0.2">
      <c r="A34" s="4" t="s">
        <v>94</v>
      </c>
      <c r="B34" s="27">
        <v>7.2</v>
      </c>
      <c r="C34" s="28">
        <v>1</v>
      </c>
      <c r="E34" s="4" t="s">
        <v>95</v>
      </c>
      <c r="F34" s="27">
        <v>6.1</v>
      </c>
      <c r="G34" s="28">
        <v>1</v>
      </c>
      <c r="I34" s="6" t="s">
        <v>99</v>
      </c>
      <c r="J34" s="7">
        <v>3.86</v>
      </c>
    </row>
    <row r="35" spans="1:10" ht="15.75" customHeight="1" x14ac:dyDescent="0.2">
      <c r="A35" s="4" t="s">
        <v>97</v>
      </c>
      <c r="B35" s="24" t="s">
        <v>14</v>
      </c>
      <c r="C35" s="6">
        <v>0</v>
      </c>
      <c r="E35" s="4" t="s">
        <v>98</v>
      </c>
      <c r="F35" s="5">
        <f>(6.79+6.74)/2</f>
        <v>6.7650000000000006</v>
      </c>
      <c r="G35" s="6">
        <v>2</v>
      </c>
      <c r="I35" s="6" t="s">
        <v>102</v>
      </c>
      <c r="J35" s="7">
        <v>3.61</v>
      </c>
    </row>
    <row r="36" spans="1:10" ht="15.75" customHeight="1" x14ac:dyDescent="0.2">
      <c r="A36" s="4" t="s">
        <v>100</v>
      </c>
      <c r="B36" s="24" t="s">
        <v>14</v>
      </c>
      <c r="C36" s="6">
        <v>0</v>
      </c>
      <c r="E36" s="4" t="s">
        <v>101</v>
      </c>
      <c r="F36" s="5">
        <f>(14.69+8.75+9.8+8.76)/4</f>
        <v>10.499999999999998</v>
      </c>
      <c r="G36" s="6">
        <v>4</v>
      </c>
      <c r="I36" s="6" t="s">
        <v>104</v>
      </c>
      <c r="J36" s="7">
        <v>3.34</v>
      </c>
    </row>
    <row r="37" spans="1:10" ht="15.75" customHeight="1" x14ac:dyDescent="0.2">
      <c r="A37" s="4" t="s">
        <v>103</v>
      </c>
      <c r="B37" s="27" t="s">
        <v>14</v>
      </c>
      <c r="C37" s="28">
        <v>0</v>
      </c>
      <c r="I37" s="6" t="s">
        <v>105</v>
      </c>
      <c r="J37" s="7">
        <v>4.05</v>
      </c>
    </row>
    <row r="38" spans="1:10" ht="15.75" customHeight="1" x14ac:dyDescent="0.2">
      <c r="I38" s="6" t="s">
        <v>106</v>
      </c>
      <c r="J38" s="7">
        <v>3.79</v>
      </c>
    </row>
    <row r="39" spans="1:10" ht="15.75" customHeight="1" x14ac:dyDescent="0.2">
      <c r="I39" s="6" t="s">
        <v>107</v>
      </c>
      <c r="J39" s="7">
        <v>3.96</v>
      </c>
    </row>
    <row r="40" spans="1:10" ht="15.75" customHeight="1" x14ac:dyDescent="0.2">
      <c r="I40" s="6" t="s">
        <v>108</v>
      </c>
      <c r="J40" s="7">
        <v>3.47</v>
      </c>
    </row>
    <row r="41" spans="1:10" ht="15.75" customHeight="1" x14ac:dyDescent="0.2">
      <c r="I41" s="6" t="s">
        <v>109</v>
      </c>
      <c r="J41" s="7">
        <v>4.12</v>
      </c>
    </row>
    <row r="42" spans="1:10" ht="15.75" customHeight="1" x14ac:dyDescent="0.2">
      <c r="I42" s="6" t="s">
        <v>110</v>
      </c>
      <c r="J42" s="7">
        <v>3.52</v>
      </c>
    </row>
    <row r="43" spans="1:10" ht="15.75" customHeight="1" x14ac:dyDescent="0.2">
      <c r="I43" s="6" t="s">
        <v>111</v>
      </c>
      <c r="J43" s="7">
        <v>3.46</v>
      </c>
    </row>
    <row r="44" spans="1:10" ht="15.75" customHeight="1" x14ac:dyDescent="0.2">
      <c r="I44" s="6" t="s">
        <v>112</v>
      </c>
      <c r="J44" s="7">
        <v>3.55</v>
      </c>
    </row>
    <row r="45" spans="1:10" ht="15.75" customHeight="1" x14ac:dyDescent="0.2">
      <c r="I45" s="6" t="s">
        <v>113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CoCoRAHS January 2025</vt:lpstr>
      <vt:lpstr>CoCoRAHS_February 2025</vt:lpstr>
      <vt:lpstr>CoCoRAHS_March 2025</vt:lpstr>
      <vt:lpstr>CoCoRAHS_April 2025</vt:lpstr>
      <vt:lpstr>CoCoRAHS_May 2025</vt:lpstr>
      <vt:lpstr>CoCoRAHS_June 2024</vt:lpstr>
      <vt:lpstr>CoCoRAHS_July 2024</vt:lpstr>
      <vt:lpstr>CoCoRAHS_August_2024</vt:lpstr>
      <vt:lpstr>CoCoRAHS_September 2024</vt:lpstr>
      <vt:lpstr>CoCoRAHS_October_2024</vt:lpstr>
      <vt:lpstr>CoCoRAHS_November_2024</vt:lpstr>
      <vt:lpstr>CoCoRAHS_December_2024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</dc:creator>
  <cp:lastModifiedBy>Jennifer Geary</cp:lastModifiedBy>
  <dcterms:created xsi:type="dcterms:W3CDTF">2015-02-02T17:41:55Z</dcterms:created>
  <dcterms:modified xsi:type="dcterms:W3CDTF">2025-06-30T18:03:51Z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e24fda99-2632-46da-8236-cfc975c5a77b</vt:lpwstr>
  </property>
</Properties>
</file>